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580" windowHeight="4425" activeTab="1"/>
  </bookViews>
  <sheets>
    <sheet name="Uvod" sheetId="1" r:id="rId1"/>
    <sheet name="Vypocet" sheetId="2" r:id="rId2"/>
    <sheet name="Slozky" sheetId="3" r:id="rId3"/>
  </sheets>
  <definedNames>
    <definedName name="solver_adj" localSheetId="1" hidden="1">'Vypocet'!#REF!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nwt" localSheetId="1" hidden="1">1</definedName>
    <definedName name="solver_opt" localSheetId="1" hidden="1">'Vypocet'!$F$24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19.06229</definedName>
  </definedNames>
  <calcPr fullCalcOnLoad="1"/>
</workbook>
</file>

<file path=xl/comments2.xml><?xml version="1.0" encoding="utf-8"?>
<comments xmlns="http://schemas.openxmlformats.org/spreadsheetml/2006/main">
  <authors>
    <author>Pent?na</author>
    <author>Yeti</author>
  </authors>
  <commentList>
    <comment ref="C2" authorId="0">
      <text>
        <r>
          <rPr>
            <sz val="8"/>
            <rFont val="Tahoma"/>
            <family val="2"/>
          </rPr>
          <t>rel. chyby objemových zlomků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sz val="8"/>
            <rFont val="Tahoma"/>
            <family val="2"/>
          </rPr>
          <t>obj. % složek plynných paliv</t>
        </r>
        <r>
          <rPr>
            <sz val="8"/>
            <rFont val="Tahoma"/>
            <family val="0"/>
          </rPr>
          <t xml:space="preserve">
</t>
        </r>
      </text>
    </comment>
    <comment ref="E21" authorId="1">
      <text>
        <r>
          <rPr>
            <sz val="10"/>
            <rFont val="Tahoma"/>
            <family val="2"/>
          </rPr>
          <t>Hustota plynné směsi při teplotě t [</t>
        </r>
        <r>
          <rPr>
            <vertAlign val="superscript"/>
            <sz val="10"/>
            <rFont val="Tahoma"/>
            <family val="2"/>
          </rPr>
          <t>o</t>
        </r>
        <r>
          <rPr>
            <sz val="10"/>
            <rFont val="Tahoma"/>
            <family val="2"/>
          </rPr>
          <t>C] a tlaku p [kPa]</t>
        </r>
        <r>
          <rPr>
            <sz val="8"/>
            <rFont val="Tahoma"/>
            <family val="0"/>
          </rPr>
          <t xml:space="preserve">
</t>
        </r>
      </text>
    </comment>
    <comment ref="E22" authorId="1">
      <text>
        <r>
          <rPr>
            <sz val="10"/>
            <rFont val="Tahoma"/>
            <family val="2"/>
          </rPr>
          <t>Výhřevnost plynné směsi vztažená k jednotce hmotnosti</t>
        </r>
        <r>
          <rPr>
            <sz val="8"/>
            <rFont val="Tahoma"/>
            <family val="0"/>
          </rPr>
          <t xml:space="preserve">
</t>
        </r>
      </text>
    </comment>
    <comment ref="E23" authorId="1">
      <text>
        <r>
          <rPr>
            <sz val="10"/>
            <rFont val="Tahoma"/>
            <family val="2"/>
          </rPr>
          <t>Výhřevnost plynné směsi vztažená k jednotce objemu</t>
        </r>
        <r>
          <rPr>
            <sz val="8"/>
            <rFont val="Tahoma"/>
            <family val="0"/>
          </rPr>
          <t xml:space="preserve">
</t>
        </r>
      </text>
    </comment>
    <comment ref="E24" authorId="1">
      <text>
        <r>
          <rPr>
            <sz val="10"/>
            <rFont val="Tahoma"/>
            <family val="2"/>
          </rPr>
          <t>Emisní faktor uhlíku</t>
        </r>
        <r>
          <rPr>
            <sz val="8"/>
            <rFont val="Tahoma"/>
            <family val="0"/>
          </rPr>
          <t xml:space="preserve">
</t>
        </r>
      </text>
    </comment>
    <comment ref="E26" authorId="1">
      <text>
        <r>
          <rPr>
            <sz val="10"/>
            <rFont val="Tahoma"/>
            <family val="2"/>
          </rPr>
          <t>Hmotnostní zlomek uhlíku</t>
        </r>
        <r>
          <rPr>
            <sz val="8"/>
            <rFont val="Tahoma"/>
            <family val="0"/>
          </rPr>
          <t xml:space="preserve">
</t>
        </r>
      </text>
    </comment>
    <comment ref="E27" authorId="1">
      <text>
        <r>
          <rPr>
            <sz val="10"/>
            <rFont val="Tahoma"/>
            <family val="2"/>
          </rPr>
          <t>Hmotnost uhlíku vztažená k objemové jednotce plynné směsi</t>
        </r>
        <r>
          <rPr>
            <sz val="8"/>
            <rFont val="Tahoma"/>
            <family val="0"/>
          </rPr>
          <t xml:space="preserve">
</t>
        </r>
      </text>
    </comment>
    <comment ref="B20" authorId="1">
      <text>
        <r>
          <rPr>
            <sz val="10"/>
            <rFont val="Tahoma"/>
            <family val="2"/>
          </rPr>
          <t xml:space="preserve">Teplota plynné směsi ve </t>
        </r>
        <r>
          <rPr>
            <vertAlign val="superscript"/>
            <sz val="10"/>
            <rFont val="Tahoma"/>
            <family val="2"/>
          </rPr>
          <t>o</t>
        </r>
        <r>
          <rPr>
            <sz val="10"/>
            <rFont val="Tahoma"/>
            <family val="2"/>
          </rPr>
          <t xml:space="preserve">C </t>
        </r>
        <r>
          <rPr>
            <sz val="8"/>
            <rFont val="Tahoma"/>
            <family val="0"/>
          </rPr>
          <t xml:space="preserve">
</t>
        </r>
      </text>
    </comment>
    <comment ref="B21" authorId="1">
      <text>
        <r>
          <rPr>
            <sz val="10"/>
            <rFont val="Tahoma"/>
            <family val="2"/>
          </rPr>
          <t>Tlak plynné směsi v kPa</t>
        </r>
        <r>
          <rPr>
            <sz val="8"/>
            <rFont val="Tahoma"/>
            <family val="0"/>
          </rPr>
          <t xml:space="preserve">
</t>
        </r>
      </text>
    </comment>
    <comment ref="E25" authorId="1">
      <text>
        <r>
          <rPr>
            <sz val="10"/>
            <rFont val="Tahoma"/>
            <family val="2"/>
          </rPr>
          <t>Emisní faktor CO</t>
        </r>
        <r>
          <rPr>
            <vertAlign val="subscript"/>
            <sz val="10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E28" authorId="1">
      <text>
        <r>
          <rPr>
            <sz val="10"/>
            <rFont val="Tahoma"/>
            <family val="2"/>
          </rPr>
          <t>Emise CO</t>
        </r>
        <r>
          <rPr>
            <vertAlign val="sub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 (t) po spálení 1 t paliva</t>
        </r>
        <r>
          <rPr>
            <sz val="8"/>
            <rFont val="Tahoma"/>
            <family val="0"/>
          </rPr>
          <t xml:space="preserve">
</t>
        </r>
      </text>
    </comment>
    <comment ref="E29" authorId="1">
      <text>
        <r>
          <rPr>
            <sz val="10"/>
            <rFont val="Tahoma"/>
            <family val="2"/>
          </rPr>
          <t>Emise CO2 (t) po spálení 1 t paliva</t>
        </r>
        <r>
          <rPr>
            <sz val="8"/>
            <rFont val="Tahoma"/>
            <family val="0"/>
          </rPr>
          <t xml:space="preserve">
</t>
        </r>
      </text>
    </comment>
    <comment ref="D2" authorId="1">
      <text>
        <r>
          <rPr>
            <sz val="8"/>
            <rFont val="Tahoma"/>
            <family val="2"/>
          </rPr>
          <t>Hustota plynné složky při teplotě a tlaku uvedené v buňkách B17 a B18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Dušan Vácha</author>
  </authors>
  <commentList>
    <comment ref="J18" authorId="0">
      <text>
        <r>
          <rPr>
            <sz val="8"/>
            <rFont val="Tahoma"/>
            <family val="0"/>
          </rPr>
          <t xml:space="preserve">hodnota z listu Vypočet
</t>
        </r>
      </text>
    </comment>
    <comment ref="J19" authorId="0">
      <text>
        <r>
          <rPr>
            <sz val="8"/>
            <rFont val="Tahoma"/>
            <family val="2"/>
          </rPr>
          <t>hodnota z listu Vypočet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<sst xmlns="http://schemas.openxmlformats.org/spreadsheetml/2006/main" count="103" uniqueCount="75">
  <si>
    <t>CEF</t>
  </si>
  <si>
    <t>wC</t>
  </si>
  <si>
    <t>TJ/t</t>
  </si>
  <si>
    <t>wi</t>
  </si>
  <si>
    <t>-</t>
  </si>
  <si>
    <t>H2</t>
  </si>
  <si>
    <t>CO2</t>
  </si>
  <si>
    <t>CO</t>
  </si>
  <si>
    <t>CH4</t>
  </si>
  <si>
    <t>C2H6</t>
  </si>
  <si>
    <t>C3H8</t>
  </si>
  <si>
    <t>C4H10</t>
  </si>
  <si>
    <t>C2H4</t>
  </si>
  <si>
    <t>C3H6</t>
  </si>
  <si>
    <t>C2H2</t>
  </si>
  <si>
    <t>N2</t>
  </si>
  <si>
    <t>Qi.Wi</t>
  </si>
  <si>
    <t>O2</t>
  </si>
  <si>
    <t>(df/dwi)2</t>
  </si>
  <si>
    <t>t C/TJ</t>
  </si>
  <si>
    <r>
      <t>kg/m</t>
    </r>
    <r>
      <rPr>
        <vertAlign val="superscript"/>
        <sz val="10"/>
        <rFont val="Arial CE"/>
        <family val="2"/>
      </rPr>
      <t>3</t>
    </r>
  </si>
  <si>
    <r>
      <t>Q</t>
    </r>
    <r>
      <rPr>
        <vertAlign val="subscript"/>
        <sz val="10"/>
        <rFont val="Arial CE"/>
        <family val="2"/>
      </rPr>
      <t>m</t>
    </r>
  </si>
  <si>
    <r>
      <t>W</t>
    </r>
    <r>
      <rPr>
        <vertAlign val="subscript"/>
        <sz val="10"/>
        <rFont val="Arial CE"/>
        <family val="2"/>
      </rPr>
      <t>C</t>
    </r>
  </si>
  <si>
    <t>r</t>
  </si>
  <si>
    <t>suma</t>
  </si>
  <si>
    <r>
      <t>Q</t>
    </r>
    <r>
      <rPr>
        <i/>
        <vertAlign val="subscript"/>
        <sz val="10"/>
        <rFont val="Arial CE"/>
        <family val="2"/>
      </rPr>
      <t>m</t>
    </r>
  </si>
  <si>
    <r>
      <t>Q</t>
    </r>
    <r>
      <rPr>
        <i/>
        <vertAlign val="subscript"/>
        <sz val="10"/>
        <rFont val="Arial CE"/>
        <family val="2"/>
      </rPr>
      <t>V</t>
    </r>
  </si>
  <si>
    <t>kPa</t>
  </si>
  <si>
    <t>K</t>
  </si>
  <si>
    <t>M</t>
  </si>
  <si>
    <t>R=</t>
  </si>
  <si>
    <t>J/Kmol</t>
  </si>
  <si>
    <t>T=</t>
  </si>
  <si>
    <r>
      <t>o</t>
    </r>
    <r>
      <rPr>
        <sz val="10"/>
        <rFont val="Arial CE"/>
        <family val="0"/>
      </rPr>
      <t>C</t>
    </r>
  </si>
  <si>
    <t>[g/mol]</t>
  </si>
  <si>
    <t>[TJ/t]</t>
  </si>
  <si>
    <r>
      <t>[MJ/m</t>
    </r>
    <r>
      <rPr>
        <vertAlign val="superscript"/>
        <sz val="10"/>
        <rFont val="Arial CE"/>
        <family val="2"/>
      </rPr>
      <t>3]</t>
    </r>
  </si>
  <si>
    <r>
      <t>[kg/m</t>
    </r>
    <r>
      <rPr>
        <vertAlign val="superscript"/>
        <sz val="10"/>
        <rFont val="Arial CE"/>
        <family val="2"/>
      </rPr>
      <t>3]</t>
    </r>
  </si>
  <si>
    <t>[t C/TJ]</t>
  </si>
  <si>
    <r>
      <t>EF(CO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</si>
  <si>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r>
      <t>[t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/TJ]</t>
    </r>
  </si>
  <si>
    <r>
      <t>x</t>
    </r>
    <r>
      <rPr>
        <vertAlign val="subscript"/>
        <sz val="10"/>
        <rFont val="Arial CE"/>
        <family val="2"/>
      </rPr>
      <t>C</t>
    </r>
  </si>
  <si>
    <r>
      <t>W</t>
    </r>
    <r>
      <rPr>
        <vertAlign val="subscript"/>
        <sz val="10"/>
        <rFont val="Arial CE"/>
        <family val="2"/>
      </rPr>
      <t>CO2</t>
    </r>
  </si>
  <si>
    <r>
      <t>p</t>
    </r>
    <r>
      <rPr>
        <sz val="10"/>
        <rFont val="Arial CE"/>
        <family val="0"/>
      </rPr>
      <t>=</t>
    </r>
  </si>
  <si>
    <r>
      <t>vi.</t>
    </r>
    <r>
      <rPr>
        <sz val="10"/>
        <rFont val="Symbol"/>
        <family val="1"/>
      </rPr>
      <t>r</t>
    </r>
  </si>
  <si>
    <r>
      <t>r</t>
    </r>
    <r>
      <rPr>
        <sz val="10"/>
        <rFont val="Arial"/>
        <family val="2"/>
      </rPr>
      <t xml:space="preserve"> *)</t>
    </r>
  </si>
  <si>
    <t>*)</t>
  </si>
  <si>
    <r>
      <t>o</t>
    </r>
    <r>
      <rPr>
        <sz val="10"/>
        <rFont val="Arial CE"/>
        <family val="0"/>
      </rPr>
      <t>C</t>
    </r>
  </si>
  <si>
    <r>
      <t>EF(CO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)</t>
    </r>
  </si>
  <si>
    <r>
      <t>t CO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/TJ</t>
    </r>
  </si>
  <si>
    <r>
      <t>Q</t>
    </r>
    <r>
      <rPr>
        <b/>
        <vertAlign val="subscript"/>
        <sz val="10"/>
        <rFont val="Arial CE"/>
        <family val="2"/>
      </rPr>
      <t>V</t>
    </r>
  </si>
  <si>
    <r>
      <t>MJ/m</t>
    </r>
    <r>
      <rPr>
        <b/>
        <vertAlign val="superscript"/>
        <sz val="10"/>
        <rFont val="Arial CE"/>
        <family val="2"/>
      </rPr>
      <t>3</t>
    </r>
  </si>
  <si>
    <r>
      <t>X</t>
    </r>
    <r>
      <rPr>
        <b/>
        <vertAlign val="subscript"/>
        <sz val="10"/>
        <rFont val="Arial CE"/>
        <family val="2"/>
      </rPr>
      <t>C</t>
    </r>
  </si>
  <si>
    <r>
      <t>X</t>
    </r>
    <r>
      <rPr>
        <b/>
        <vertAlign val="subscript"/>
        <sz val="10"/>
        <rFont val="Arial CE"/>
        <family val="2"/>
      </rPr>
      <t>CO2</t>
    </r>
  </si>
  <si>
    <t>unc.</t>
  </si>
  <si>
    <t>unc. WC</t>
  </si>
  <si>
    <t>unc XC</t>
  </si>
  <si>
    <t>GCV</t>
  </si>
  <si>
    <t>[kg C/kg gas]</t>
  </si>
  <si>
    <r>
      <t>[kg C/m</t>
    </r>
    <r>
      <rPr>
        <vertAlign val="superscript"/>
        <sz val="10"/>
        <rFont val="Arial CE"/>
        <family val="2"/>
      </rPr>
      <t xml:space="preserve">3 </t>
    </r>
    <r>
      <rPr>
        <sz val="10"/>
        <rFont val="Arial CE"/>
        <family val="2"/>
      </rPr>
      <t>gas]</t>
    </r>
  </si>
  <si>
    <t>Kolar F., Fott P., Svitilova J.: Emissions of Carbon Dioxide of Gaseous Fuels Calculated from their Composition, Acta Geodynamica et Geomaterialia (ISSN 1211-1910) Vol.1, No.2 (134), 279-287, 2004</t>
  </si>
  <si>
    <t>Vypočtené hodnoty</t>
  </si>
  <si>
    <t>C5H12</t>
  </si>
  <si>
    <t>C6H14</t>
  </si>
  <si>
    <t>Teplota</t>
  </si>
  <si>
    <t>Tlak</t>
  </si>
  <si>
    <t>obj. %</t>
  </si>
  <si>
    <t>nejistota. %</t>
  </si>
  <si>
    <t>kg C/kg plynu</t>
  </si>
  <si>
    <r>
      <t>kg C/m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plynu</t>
    </r>
  </si>
  <si>
    <r>
      <t>t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/t plynu</t>
    </r>
  </si>
  <si>
    <r>
      <t>kg CO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/m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plynu</t>
    </r>
  </si>
  <si>
    <t>Složka paliva:</t>
  </si>
  <si>
    <t>verze 2</t>
  </si>
  <si>
    <t>zpřesněny atomové hmotnosti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</si>
</sst>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"/>
    <numFmt numFmtId="183" formatCode="0.0"/>
    <numFmt numFmtId="184" formatCode="0.0000000"/>
    <numFmt numFmtId="185" formatCode="0.00000"/>
    <numFmt numFmtId="186" formatCode="0.000000E+00"/>
    <numFmt numFmtId="187" formatCode="0.000E+00"/>
    <numFmt numFmtId="188" formatCode="0.0000E+00"/>
    <numFmt numFmtId="189" formatCode="0.000000"/>
    <numFmt numFmtId="190" formatCode="0.0%"/>
  </numFmts>
  <fonts count="2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sz val="10"/>
      <name val="Symbol"/>
      <family val="1"/>
    </font>
    <font>
      <i/>
      <vertAlign val="subscript"/>
      <sz val="10"/>
      <name val="Arial CE"/>
      <family val="2"/>
    </font>
    <font>
      <sz val="8"/>
      <name val="Tahoma"/>
      <family val="0"/>
    </font>
    <font>
      <sz val="10"/>
      <color indexed="10"/>
      <name val="Arial CE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color indexed="23"/>
      <name val="Arial CE"/>
      <family val="2"/>
    </font>
    <font>
      <vertAlign val="subscript"/>
      <sz val="10"/>
      <name val="Tahoma"/>
      <family val="2"/>
    </font>
    <font>
      <sz val="7.5"/>
      <name val="MS Sans Serif"/>
      <family val="2"/>
    </font>
    <font>
      <sz val="8"/>
      <name val="MS Sans Serif"/>
      <family val="2"/>
    </font>
    <font>
      <sz val="12"/>
      <name val="Times New Roman"/>
      <family val="1"/>
    </font>
    <font>
      <sz val="10"/>
      <color indexed="8"/>
      <name val="Arial CE"/>
      <family val="2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5" fillId="0" borderId="0" xfId="0" applyFont="1" applyAlignment="1">
      <alignment horizontal="center" wrapText="1"/>
    </xf>
    <xf numFmtId="10" fontId="15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0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8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8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178" fontId="19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178" fontId="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indent="4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178" fontId="24" fillId="0" borderId="0" xfId="0" applyNumberFormat="1" applyFont="1" applyFill="1" applyBorder="1" applyAlignment="1">
      <alignment horizontal="left" indent="1"/>
    </xf>
    <xf numFmtId="2" fontId="24" fillId="0" borderId="0" xfId="0" applyNumberFormat="1" applyFont="1" applyFill="1" applyBorder="1" applyAlignment="1">
      <alignment horizontal="right"/>
    </xf>
    <xf numFmtId="190" fontId="16" fillId="0" borderId="0" xfId="20" applyNumberFormat="1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 horizontal="center" vertical="top" wrapText="1"/>
    </xf>
    <xf numFmtId="189" fontId="1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wmf" /><Relationship Id="rId8" Type="http://schemas.openxmlformats.org/officeDocument/2006/relationships/image" Target="../media/image3.wmf" /><Relationship Id="rId9" Type="http://schemas.openxmlformats.org/officeDocument/2006/relationships/image" Target="../media/image4.wmf" /><Relationship Id="rId10" Type="http://schemas.openxmlformats.org/officeDocument/2006/relationships/image" Target="../media/image5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oleObject" Target="../embeddings/oleObject_1_7.bin" /><Relationship Id="rId10" Type="http://schemas.openxmlformats.org/officeDocument/2006/relationships/oleObject" Target="../embeddings/oleObject_1_8.bin" /><Relationship Id="rId11" Type="http://schemas.openxmlformats.org/officeDocument/2006/relationships/oleObject" Target="../embeddings/oleObject_1_9.bin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="75" zoomScaleNormal="75" workbookViewId="0" topLeftCell="A61">
      <selection activeCell="H153" sqref="H153"/>
    </sheetView>
  </sheetViews>
  <sheetFormatPr defaultColWidth="9.00390625" defaultRowHeight="12.75"/>
  <sheetData>
    <row r="1" spans="1:2" ht="12.75">
      <c r="A1" t="s">
        <v>73</v>
      </c>
      <c r="B1" t="s">
        <v>74</v>
      </c>
    </row>
  </sheetData>
  <sheetProtection password="833D" sheet="1" objects="1" scenarios="1"/>
  <printOptions/>
  <pageMargins left="0.1968503937007874" right="0.1968503937007874" top="0.7874015748031497" bottom="0.7874015748031497" header="0.5118110236220472" footer="0.5118110236220472"/>
  <pageSetup horizontalDpi="600" verticalDpi="600" orientation="landscape" r:id="rId6"/>
  <legacyDrawing r:id="rId5"/>
  <oleObjects>
    <oleObject progId="Dokument" shapeId="19131187" r:id="rId1"/>
    <oleObject progId="Dokument" shapeId="19135782" r:id="rId2"/>
    <oleObject progId="Dokument" shapeId="19136867" r:id="rId3"/>
    <oleObject progId="Dokument" shapeId="1913806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9.625" style="8" customWidth="1"/>
    <col min="2" max="2" width="10.625" style="8" customWidth="1"/>
    <col min="3" max="3" width="10.75390625" style="8" customWidth="1"/>
    <col min="4" max="4" width="8.25390625" style="8" customWidth="1"/>
    <col min="5" max="6" width="8.75390625" style="8" customWidth="1"/>
    <col min="7" max="7" width="9.625" style="8" bestFit="1" customWidth="1"/>
    <col min="8" max="8" width="10.00390625" style="8" customWidth="1"/>
    <col min="9" max="9" width="10.25390625" style="8" customWidth="1"/>
    <col min="10" max="10" width="7.875" style="8" customWidth="1"/>
    <col min="11" max="11" width="10.125" style="8" customWidth="1"/>
    <col min="12" max="12" width="9.75390625" style="8" customWidth="1"/>
    <col min="13" max="13" width="11.75390625" style="8" customWidth="1"/>
    <col min="14" max="14" width="10.00390625" style="8" bestFit="1" customWidth="1"/>
    <col min="15" max="16" width="9.125" style="8" customWidth="1"/>
    <col min="17" max="19" width="9.375" style="8" customWidth="1"/>
    <col min="20" max="20" width="15.75390625" style="8" bestFit="1" customWidth="1"/>
    <col min="21" max="21" width="9.25390625" style="8" bestFit="1" customWidth="1"/>
    <col min="22" max="16384" width="9.125" style="8" customWidth="1"/>
  </cols>
  <sheetData>
    <row r="1" ht="12.75">
      <c r="A1" s="49" t="s">
        <v>72</v>
      </c>
    </row>
    <row r="2" spans="1:14" ht="12.75">
      <c r="A2" s="9"/>
      <c r="B2" s="10" t="s">
        <v>66</v>
      </c>
      <c r="C2" s="4" t="s">
        <v>67</v>
      </c>
      <c r="D2" s="42" t="s">
        <v>23</v>
      </c>
      <c r="E2" s="4" t="s">
        <v>44</v>
      </c>
      <c r="F2" s="10" t="s">
        <v>3</v>
      </c>
      <c r="G2" s="4" t="s">
        <v>1</v>
      </c>
      <c r="H2" s="4" t="s">
        <v>16</v>
      </c>
      <c r="I2" s="4" t="s">
        <v>18</v>
      </c>
      <c r="J2" s="4" t="s">
        <v>54</v>
      </c>
      <c r="K2" s="4" t="s">
        <v>18</v>
      </c>
      <c r="L2" s="4" t="s">
        <v>55</v>
      </c>
      <c r="M2" s="4" t="s">
        <v>18</v>
      </c>
      <c r="N2" s="4" t="s">
        <v>56</v>
      </c>
    </row>
    <row r="3" spans="1:15" ht="12.75">
      <c r="A3" s="11" t="s">
        <v>5</v>
      </c>
      <c r="B3" s="58">
        <v>10</v>
      </c>
      <c r="C3" s="59">
        <v>2</v>
      </c>
      <c r="D3" s="6">
        <f>$B$21*Slozky!$B3/($B$23*$B$22)</f>
        <v>0.08994355801670752</v>
      </c>
      <c r="E3" s="2">
        <f aca="true" t="shared" si="0" ref="E3:E9">B3/100*D3</f>
        <v>0.008994355801670751</v>
      </c>
      <c r="F3" s="2">
        <f aca="true" t="shared" si="1" ref="F3:F9">B3*D3/F$21/100</f>
        <v>0.005622920880737946</v>
      </c>
      <c r="G3" s="2">
        <f>F3*Slozky!C3</f>
        <v>0</v>
      </c>
      <c r="H3" s="2">
        <f>Slozky!E3*Vypocet!F3</f>
        <v>0.0006750316517325904</v>
      </c>
      <c r="I3" s="13">
        <f>((Slozky!C3*Vypocet!H$17-Slozky!E3*Vypocet!G$17)/H$17^2)^2</f>
        <v>5894.184769734612</v>
      </c>
      <c r="J3" s="14">
        <f aca="true" t="shared" si="2" ref="J3:J9">I3*(B3/100*C3/100)^2</f>
        <v>0.023576739078938445</v>
      </c>
      <c r="K3" s="14">
        <f>Slozky!C3^2</f>
        <v>0</v>
      </c>
      <c r="L3" s="15">
        <f aca="true" t="shared" si="3" ref="L3:L9">K3*(B3/100*C3/100)^2</f>
        <v>0</v>
      </c>
      <c r="M3" s="14">
        <f>Slozky!D3^2</f>
        <v>0</v>
      </c>
      <c r="N3" s="15">
        <f aca="true" t="shared" si="4" ref="N3:N9">M3*(B3/100*C3/100)^2</f>
        <v>0</v>
      </c>
      <c r="O3" s="6"/>
    </row>
    <row r="4" spans="1:15" ht="12.75">
      <c r="A4" s="11" t="s">
        <v>6</v>
      </c>
      <c r="B4" s="58">
        <v>10</v>
      </c>
      <c r="C4" s="59">
        <v>2</v>
      </c>
      <c r="D4" s="6">
        <f>$B$21*Slozky!$B4/($B$23*$B$22)</f>
        <v>1.963594567402965</v>
      </c>
      <c r="E4" s="2">
        <f t="shared" si="0"/>
        <v>0.1963594567402965</v>
      </c>
      <c r="F4" s="2">
        <f t="shared" si="1"/>
        <v>0.12275628336053565</v>
      </c>
      <c r="G4" s="2">
        <f>F4*Slozky!C4</f>
        <v>0.03350160516612062</v>
      </c>
      <c r="H4" s="2">
        <f>Slozky!E4*Vypocet!F4</f>
        <v>0</v>
      </c>
      <c r="I4" s="13">
        <f>((Slozky!C4*Vypocet!H$17-Slozky!E4*Vypocet!G$17)/H$17^2)^2</f>
        <v>83.63324369065826</v>
      </c>
      <c r="J4" s="14">
        <f t="shared" si="2"/>
        <v>0.00033453297476263304</v>
      </c>
      <c r="K4" s="14">
        <f>Slozky!C4^2</f>
        <v>0.07448070346075583</v>
      </c>
      <c r="L4" s="15">
        <f t="shared" si="3"/>
        <v>2.979228138430233E-07</v>
      </c>
      <c r="M4" s="14">
        <f>Slozky!D4^2</f>
        <v>0.2871755183361993</v>
      </c>
      <c r="N4" s="15">
        <f t="shared" si="4"/>
        <v>1.1487020733447972E-06</v>
      </c>
      <c r="O4" s="16"/>
    </row>
    <row r="5" spans="1:14" ht="12.75">
      <c r="A5" s="11" t="s">
        <v>7</v>
      </c>
      <c r="B5" s="58">
        <v>10</v>
      </c>
      <c r="C5" s="59">
        <v>2</v>
      </c>
      <c r="D5" s="6">
        <f>$B$21*Slozky!$B5/($B$23*$B$22)</f>
        <v>1.249741083002847</v>
      </c>
      <c r="E5" s="2">
        <f t="shared" si="0"/>
        <v>0.12497410830028471</v>
      </c>
      <c r="F5" s="2">
        <f t="shared" si="1"/>
        <v>0.07812894426332816</v>
      </c>
      <c r="G5" s="2">
        <f>F5*Slozky!C5</f>
        <v>0.03350160516612063</v>
      </c>
      <c r="H5" s="2">
        <f>Slozky!E5*Vypocet!F5</f>
        <v>0.0007883210476169811</v>
      </c>
      <c r="I5" s="13">
        <f>((Slozky!C5*Vypocet!H$17-Slozky!E5*Vypocet!G$17)/H$17^2)^2</f>
        <v>62.66517092485846</v>
      </c>
      <c r="J5" s="14">
        <f t="shared" si="2"/>
        <v>0.0002506606836994338</v>
      </c>
      <c r="K5" s="14">
        <f>Slozky!C5^2</f>
        <v>0.18386849453197396</v>
      </c>
      <c r="L5" s="15">
        <f t="shared" si="3"/>
        <v>7.354739781278958E-07</v>
      </c>
      <c r="M5" s="14">
        <f>Slozky!D5^2</f>
        <v>0.2871755183361994</v>
      </c>
      <c r="N5" s="15">
        <f t="shared" si="4"/>
        <v>1.1487020733447976E-06</v>
      </c>
    </row>
    <row r="6" spans="1:14" ht="12.75">
      <c r="A6" s="11" t="s">
        <v>8</v>
      </c>
      <c r="B6" s="58">
        <v>10</v>
      </c>
      <c r="C6" s="59">
        <v>2</v>
      </c>
      <c r="D6" s="6">
        <f>$B$21*Slozky!$B6/($B$23*$B$22)</f>
        <v>0.7157747146361436</v>
      </c>
      <c r="E6" s="2">
        <f t="shared" si="0"/>
        <v>0.07157747146361436</v>
      </c>
      <c r="F6" s="2">
        <f t="shared" si="1"/>
        <v>0.04474744692759651</v>
      </c>
      <c r="G6" s="2">
        <f>F6*Slozky!C6</f>
        <v>0.03350160516612063</v>
      </c>
      <c r="H6" s="2">
        <f>Slozky!E6*Vypocet!F6</f>
        <v>0.002240280930430119</v>
      </c>
      <c r="I6" s="13">
        <f>((Slozky!C6*Vypocet!H$17-Slozky!E6*Vypocet!G$17)/H$17^2)^2</f>
        <v>48.015286866653234</v>
      </c>
      <c r="J6" s="14">
        <f t="shared" si="2"/>
        <v>0.00019206114746661294</v>
      </c>
      <c r="K6" s="14">
        <f>Slozky!C6^2</f>
        <v>0.5605246402657563</v>
      </c>
      <c r="L6" s="15">
        <f t="shared" si="3"/>
        <v>2.242098561063025E-06</v>
      </c>
      <c r="M6" s="14">
        <f>Slozky!D6^2</f>
        <v>0.2871755183361993</v>
      </c>
      <c r="N6" s="15">
        <f t="shared" si="4"/>
        <v>1.1487020733447972E-06</v>
      </c>
    </row>
    <row r="7" spans="1:14" ht="12.75">
      <c r="A7" s="11" t="s">
        <v>9</v>
      </c>
      <c r="B7" s="58">
        <v>10</v>
      </c>
      <c r="C7" s="59">
        <v>2</v>
      </c>
      <c r="D7" s="6">
        <f>$B$21*Slozky!$B7/($B$23*$B$22)</f>
        <v>1.34160587125558</v>
      </c>
      <c r="E7" s="2">
        <f t="shared" si="0"/>
        <v>0.134160587125558</v>
      </c>
      <c r="F7" s="2">
        <f t="shared" si="1"/>
        <v>0.08387197297445509</v>
      </c>
      <c r="G7" s="2">
        <f>F7*Slozky!C7</f>
        <v>0.06700321033224124</v>
      </c>
      <c r="H7" s="2">
        <f>Slozky!E7*Vypocet!F7</f>
        <v>0.003984757436016361</v>
      </c>
      <c r="I7" s="13">
        <f>((Slozky!C7*Vypocet!H$17-Slozky!E7*Vypocet!G$17)/H$17^2)^2</f>
        <v>13.056740081874683</v>
      </c>
      <c r="J7" s="14">
        <f t="shared" si="2"/>
        <v>5.222696032749873E-05</v>
      </c>
      <c r="K7" s="14">
        <f>Slozky!C7^2</f>
        <v>0.638201035545926</v>
      </c>
      <c r="L7" s="15">
        <f t="shared" si="3"/>
        <v>2.552804142183704E-06</v>
      </c>
      <c r="M7" s="14">
        <f>Slozky!D7^2</f>
        <v>1.1487020733447972</v>
      </c>
      <c r="N7" s="15">
        <f t="shared" si="4"/>
        <v>4.594808293379189E-06</v>
      </c>
    </row>
    <row r="8" spans="1:15" ht="12.75">
      <c r="A8" s="11" t="s">
        <v>10</v>
      </c>
      <c r="B8" s="58">
        <v>10</v>
      </c>
      <c r="C8" s="59">
        <v>2</v>
      </c>
      <c r="D8" s="6">
        <f>$B$21*Slozky!$B8/($B$23*$B$22)</f>
        <v>1.967437027875016</v>
      </c>
      <c r="E8" s="2">
        <f t="shared" si="0"/>
        <v>0.1967437027875016</v>
      </c>
      <c r="F8" s="2">
        <f t="shared" si="1"/>
        <v>0.12299649902131364</v>
      </c>
      <c r="G8" s="2">
        <f>F8*Slozky!C8</f>
        <v>0.10050481549836186</v>
      </c>
      <c r="H8" s="2">
        <f>Slozky!E8*Vypocet!F8</f>
        <v>0.005704577624608526</v>
      </c>
      <c r="I8" s="13">
        <f>((Slozky!C8*Vypocet!H$17-Slozky!E8*Vypocet!G$17)/H$17^2)^2</f>
        <v>5.193174178590165</v>
      </c>
      <c r="J8" s="14">
        <f t="shared" si="2"/>
        <v>2.077269671436066E-05</v>
      </c>
      <c r="K8" s="14">
        <f>Slozky!C8^2</f>
        <v>0.6677105552065338</v>
      </c>
      <c r="L8" s="15">
        <f t="shared" si="3"/>
        <v>2.670842220826135E-06</v>
      </c>
      <c r="M8" s="14">
        <f>Slozky!D8^2</f>
        <v>2.5845796650257937</v>
      </c>
      <c r="N8" s="15">
        <f t="shared" si="4"/>
        <v>1.0338318660103174E-05</v>
      </c>
      <c r="O8" s="4"/>
    </row>
    <row r="9" spans="1:14" ht="12.75">
      <c r="A9" s="11" t="s">
        <v>11</v>
      </c>
      <c r="B9" s="58">
        <v>10</v>
      </c>
      <c r="C9" s="59">
        <v>2</v>
      </c>
      <c r="D9" s="6">
        <f>$B$21*Slozky!$B9/($B$23*$B$22)</f>
        <v>2.5932681844944527</v>
      </c>
      <c r="E9" s="2">
        <f t="shared" si="0"/>
        <v>0.2593268184494453</v>
      </c>
      <c r="F9" s="2">
        <f t="shared" si="1"/>
        <v>0.16212102506817222</v>
      </c>
      <c r="G9" s="2">
        <f>F9*Slozky!C9</f>
        <v>0.13400642066448248</v>
      </c>
      <c r="H9" s="2">
        <f>Slozky!E9*Vypocet!F9</f>
        <v>0.007417036896868879</v>
      </c>
      <c r="I9" s="13">
        <f>((Slozky!C9*Vypocet!H$17-Slozky!E9*Vypocet!G$17)/H$17^2)^2</f>
        <v>2.431712968858492</v>
      </c>
      <c r="J9" s="14">
        <f t="shared" si="2"/>
        <v>9.726851875433968E-06</v>
      </c>
      <c r="K9" s="14">
        <f>Slozky!C9^2</f>
        <v>0.6832388175557194</v>
      </c>
      <c r="L9" s="15">
        <f t="shared" si="3"/>
        <v>2.7329552702228773E-06</v>
      </c>
      <c r="M9" s="14">
        <f>Slozky!D9^2</f>
        <v>4.594808293379191</v>
      </c>
      <c r="N9" s="15">
        <f t="shared" si="4"/>
        <v>1.837923317351676E-05</v>
      </c>
    </row>
    <row r="10" spans="1:14" ht="12.75">
      <c r="A10" s="11" t="s">
        <v>62</v>
      </c>
      <c r="B10" s="58">
        <v>10</v>
      </c>
      <c r="C10" s="59">
        <v>2</v>
      </c>
      <c r="D10" s="6">
        <f>$B$21*Slozky!$B10/($B$23*$B$22)</f>
        <v>3.2190993411138886</v>
      </c>
      <c r="E10" s="2">
        <f aca="true" t="shared" si="5" ref="E10:E16">B10/100*D10</f>
        <v>0.3219099341113889</v>
      </c>
      <c r="F10" s="2">
        <f aca="true" t="shared" si="6" ref="F10:F16">B10*D10/F$21/100</f>
        <v>0.20124555111503073</v>
      </c>
      <c r="G10" s="2">
        <f>F10*Slozky!C10</f>
        <v>0.16750802583060306</v>
      </c>
      <c r="H10" s="2">
        <f>Slozky!E10*Vypocet!F10</f>
        <v>0.009032302825144809</v>
      </c>
      <c r="I10" s="13">
        <f>((Slozky!C10*Vypocet!H$17-Slozky!E10*Vypocet!G$17)/H$17^2)^2</f>
        <v>0.6574295076240366</v>
      </c>
      <c r="J10" s="14">
        <f>I10*(B10/100*C10/100)^2</f>
        <v>2.6297180304961466E-06</v>
      </c>
      <c r="K10" s="14">
        <f>Slozky!C10^2</f>
        <v>0.6928172046506292</v>
      </c>
      <c r="L10" s="15">
        <f>K10*(B10/100*C10/100)^2</f>
        <v>2.7712688186025168E-06</v>
      </c>
      <c r="M10" s="14">
        <f>Slozky!D10^2</f>
        <v>7.179387958404981</v>
      </c>
      <c r="N10" s="15">
        <f>M10*(B10/100*C10/100)^2</f>
        <v>2.8717551833619923E-05</v>
      </c>
    </row>
    <row r="11" spans="1:14" ht="12.75">
      <c r="A11" s="11" t="s">
        <v>63</v>
      </c>
      <c r="B11" s="58">
        <v>0</v>
      </c>
      <c r="C11" s="59">
        <v>2</v>
      </c>
      <c r="D11" s="6">
        <f>$B$21*Slozky!$B11/($B$23*$B$22)</f>
        <v>3.844930497733325</v>
      </c>
      <c r="E11" s="2">
        <f t="shared" si="5"/>
        <v>0</v>
      </c>
      <c r="F11" s="2">
        <f t="shared" si="6"/>
        <v>0</v>
      </c>
      <c r="G11" s="2">
        <f>F11*Slozky!C11</f>
        <v>0</v>
      </c>
      <c r="H11" s="2">
        <f>Slozky!E11*Vypocet!F11</f>
        <v>0</v>
      </c>
      <c r="I11" s="13">
        <f>((Slozky!C11*Vypocet!H$17-Slozky!E11*Vypocet!G$17)/H$17^2)^2</f>
        <v>0.12909010648369132</v>
      </c>
      <c r="J11" s="14">
        <f>I11*(B11/100*C11/100)^2</f>
        <v>0</v>
      </c>
      <c r="K11" s="14">
        <f>Slozky!C11^2</f>
        <v>0.6993151338275275</v>
      </c>
      <c r="L11" s="15">
        <f>K11*(B11/100*C11/100)^2</f>
        <v>0</v>
      </c>
      <c r="M11" s="14">
        <f>Slozky!D11^2</f>
        <v>10.338318660103177</v>
      </c>
      <c r="N11" s="15">
        <f>M11*(B11/100*C11/100)^2</f>
        <v>0</v>
      </c>
    </row>
    <row r="12" spans="1:14" ht="12.75">
      <c r="A12" s="11" t="s">
        <v>12</v>
      </c>
      <c r="B12" s="58">
        <v>0</v>
      </c>
      <c r="C12" s="59">
        <v>2</v>
      </c>
      <c r="D12" s="6">
        <f>$B$21*Slozky!$B12/($B$23*$B$22)</f>
        <v>1.2516623132388724</v>
      </c>
      <c r="E12" s="2">
        <f t="shared" si="5"/>
        <v>0</v>
      </c>
      <c r="F12" s="2">
        <f t="shared" si="6"/>
        <v>0</v>
      </c>
      <c r="G12" s="2">
        <f>F12*Slozky!C12</f>
        <v>0</v>
      </c>
      <c r="H12" s="2">
        <f>Slozky!E12*Vypocet!F12</f>
        <v>0</v>
      </c>
      <c r="I12" s="13">
        <f>((Slozky!C12*Vypocet!H$17-Slozky!E12*Vypocet!G$17)/H$17^2)^2</f>
        <v>2.1865763337611366</v>
      </c>
      <c r="J12" s="14">
        <f>I12*(B12/100*C12/100)^2</f>
        <v>0</v>
      </c>
      <c r="K12" s="14">
        <f>Slozky!C12^2</f>
        <v>0.7332178897547419</v>
      </c>
      <c r="L12" s="15">
        <f>K12*(B12/100*C12/100)^2</f>
        <v>0</v>
      </c>
      <c r="M12" s="14">
        <f>Slozky!D12^2</f>
        <v>1.1487020733447972</v>
      </c>
      <c r="N12" s="15">
        <f>M12*(B12/100*C12/100)^2</f>
        <v>0</v>
      </c>
    </row>
    <row r="13" spans="1:14" ht="12.75">
      <c r="A13" s="11" t="s">
        <v>13</v>
      </c>
      <c r="B13" s="58">
        <v>0</v>
      </c>
      <c r="C13" s="59">
        <v>2</v>
      </c>
      <c r="D13" s="6">
        <f>$B$21*Slozky!$B13/($B$23*$B$22)</f>
        <v>1.8774934698583088</v>
      </c>
      <c r="E13" s="2">
        <f t="shared" si="5"/>
        <v>0</v>
      </c>
      <c r="F13" s="2">
        <f t="shared" si="6"/>
        <v>0</v>
      </c>
      <c r="G13" s="2">
        <f>F13*Slozky!C13</f>
        <v>0</v>
      </c>
      <c r="H13" s="2">
        <f>Slozky!E13*Vypocet!F13</f>
        <v>0</v>
      </c>
      <c r="I13" s="13">
        <f>((Slozky!C13*Vypocet!H$17-Slozky!E13*Vypocet!G$17)/H$17^2)^2</f>
        <v>0.34784505866741006</v>
      </c>
      <c r="J13" s="14">
        <f>I13*(B13/100*C13/100)^2</f>
        <v>0</v>
      </c>
      <c r="K13" s="14">
        <f>Slozky!C13^2</f>
        <v>0.7332178897547419</v>
      </c>
      <c r="L13" s="15">
        <f>K13*(B13/100*C13/100)^2</f>
        <v>0</v>
      </c>
      <c r="M13" s="14">
        <f>Slozky!D13^2</f>
        <v>2.584579665025794</v>
      </c>
      <c r="N13" s="15">
        <f>M13*(B13/100*C13/100)^2</f>
        <v>0</v>
      </c>
    </row>
    <row r="14" spans="1:14" ht="12.75">
      <c r="A14" s="11" t="s">
        <v>14</v>
      </c>
      <c r="B14" s="58">
        <v>0</v>
      </c>
      <c r="C14" s="59">
        <v>2</v>
      </c>
      <c r="D14" s="6">
        <f>$B$21*Slozky!$B14/($B$23*$B$22)</f>
        <v>1.1617187552221648</v>
      </c>
      <c r="E14" s="2">
        <f t="shared" si="5"/>
        <v>0</v>
      </c>
      <c r="F14" s="2">
        <f t="shared" si="6"/>
        <v>0</v>
      </c>
      <c r="G14" s="2">
        <f>F14*Slozky!C14</f>
        <v>0</v>
      </c>
      <c r="H14" s="2">
        <f>Slozky!E14*Vypocet!F14</f>
        <v>0</v>
      </c>
      <c r="I14" s="13">
        <f>((Slozky!C14*Vypocet!H$17-Slozky!E14*Vypocet!G$17)/H$17^2)^2</f>
        <v>0.019516423631106512</v>
      </c>
      <c r="J14" s="14">
        <f>I14*(B14/100*C14/100)^2</f>
        <v>0</v>
      </c>
      <c r="K14" s="14">
        <f>Slozky!C14^2</f>
        <v>0.8511486277384768</v>
      </c>
      <c r="L14" s="15">
        <f>K14*(B14/100*C14/100)^2</f>
        <v>0</v>
      </c>
      <c r="M14" s="14">
        <f>Slozky!D14^2</f>
        <v>1.1487020733447972</v>
      </c>
      <c r="N14" s="15">
        <f>M14*(B14/100*C14/100)^2</f>
        <v>0</v>
      </c>
    </row>
    <row r="15" spans="1:14" ht="12.75">
      <c r="A15" s="11" t="s">
        <v>17</v>
      </c>
      <c r="B15" s="58">
        <v>20</v>
      </c>
      <c r="C15" s="59">
        <v>2</v>
      </c>
      <c r="D15" s="6">
        <f>$B$21*Slozky!$B15/($B$23*$B$22)</f>
        <v>1.4277069688002362</v>
      </c>
      <c r="E15" s="2">
        <f t="shared" si="5"/>
        <v>0.2855413937600472</v>
      </c>
      <c r="F15" s="2">
        <f t="shared" si="6"/>
        <v>0.17850935638883006</v>
      </c>
      <c r="G15" s="2">
        <f>F15*Slozky!C15</f>
        <v>0</v>
      </c>
      <c r="H15" s="2">
        <f>Slozky!E15*Vypocet!F15</f>
        <v>0</v>
      </c>
      <c r="I15" s="13"/>
      <c r="J15" s="14"/>
      <c r="K15" s="12"/>
      <c r="L15" s="14"/>
      <c r="M15" s="12"/>
      <c r="N15" s="14"/>
    </row>
    <row r="16" spans="1:14" ht="12.75">
      <c r="A16" s="11" t="s">
        <v>15</v>
      </c>
      <c r="B16" s="58">
        <v>0</v>
      </c>
      <c r="C16" s="59">
        <v>2</v>
      </c>
      <c r="D16" s="6">
        <f>$B$21*Slozky!$B16/($B$23*$B$22)</f>
        <v>1.2498918902066964</v>
      </c>
      <c r="E16" s="2">
        <f t="shared" si="5"/>
        <v>0</v>
      </c>
      <c r="F16" s="2">
        <f t="shared" si="6"/>
        <v>0</v>
      </c>
      <c r="G16" s="2">
        <f>F16*Slozky!C16</f>
        <v>0</v>
      </c>
      <c r="H16" s="2">
        <f>Slozky!E16*Vypocet!F16</f>
        <v>0</v>
      </c>
      <c r="I16" s="13"/>
      <c r="J16" s="14"/>
      <c r="K16" s="12"/>
      <c r="L16" s="14"/>
      <c r="M16" s="12"/>
      <c r="N16" s="14"/>
    </row>
    <row r="17" spans="1:14" ht="12.75">
      <c r="A17" s="62" t="s">
        <v>24</v>
      </c>
      <c r="B17" s="63">
        <f>SUM(B3:B16)</f>
        <v>100</v>
      </c>
      <c r="C17" s="2"/>
      <c r="E17" s="2">
        <f>SUM(E3:E16)</f>
        <v>1.5995878285398073</v>
      </c>
      <c r="F17" s="48">
        <f>SUM(F3:F16)</f>
        <v>1</v>
      </c>
      <c r="G17" s="2">
        <f>SUM(G3:G16)</f>
        <v>0.5695272878240505</v>
      </c>
      <c r="H17" s="2">
        <f>SUM(H3:H16)</f>
        <v>0.029842308412418268</v>
      </c>
      <c r="J17" s="2">
        <f>(SUM(J3:J16))^0.5</f>
        <v>0.15633089941471875</v>
      </c>
      <c r="L17" s="2">
        <f>(SUM(L3:L16))^0.5</f>
        <v>0.0037421071343387777</v>
      </c>
      <c r="N17" s="2">
        <f>(SUM(N3:N16))^0.5</f>
        <v>0.00809172529073086</v>
      </c>
    </row>
    <row r="18" ht="12.75"/>
    <row r="19" ht="12.75"/>
    <row r="20" spans="1:6" ht="12.75">
      <c r="A20" s="26"/>
      <c r="B20" s="60">
        <v>0</v>
      </c>
      <c r="C20" s="27" t="s">
        <v>33</v>
      </c>
      <c r="E20" s="49" t="s">
        <v>61</v>
      </c>
      <c r="F20" s="49"/>
    </row>
    <row r="21" spans="1:13" ht="12.75">
      <c r="A21" s="41" t="s">
        <v>43</v>
      </c>
      <c r="B21" s="61">
        <v>101.325</v>
      </c>
      <c r="C21" s="12" t="s">
        <v>27</v>
      </c>
      <c r="E21" s="19" t="s">
        <v>23</v>
      </c>
      <c r="F21" s="17">
        <f>E17</f>
        <v>1.5995878285398073</v>
      </c>
      <c r="G21" s="4" t="s">
        <v>20</v>
      </c>
      <c r="J21" s="16"/>
      <c r="K21" s="16"/>
      <c r="L21" s="38"/>
      <c r="M21"/>
    </row>
    <row r="22" spans="1:13" ht="12.75">
      <c r="A22" s="26" t="s">
        <v>32</v>
      </c>
      <c r="B22" s="61">
        <f>273.15+B20</f>
        <v>273.15</v>
      </c>
      <c r="C22" s="28" t="s">
        <v>28</v>
      </c>
      <c r="E22" s="5" t="s">
        <v>21</v>
      </c>
      <c r="F22" s="17">
        <f>H17</f>
        <v>0.029842308412418268</v>
      </c>
      <c r="G22" s="4" t="s">
        <v>2</v>
      </c>
      <c r="H22" s="4"/>
      <c r="L22" s="38"/>
      <c r="M22"/>
    </row>
    <row r="23" spans="1:13" ht="12.75">
      <c r="A23" s="25" t="s">
        <v>30</v>
      </c>
      <c r="B23" s="61">
        <v>8.314</v>
      </c>
      <c r="C23" s="21" t="s">
        <v>31</v>
      </c>
      <c r="E23" s="49" t="s">
        <v>50</v>
      </c>
      <c r="F23" s="50">
        <f>F22*F21*1000</f>
        <v>47.73539331203536</v>
      </c>
      <c r="G23" s="52" t="s">
        <v>51</v>
      </c>
      <c r="H23" s="4"/>
      <c r="K23" s="16"/>
      <c r="L23" s="38"/>
      <c r="M23"/>
    </row>
    <row r="24" spans="5:13" ht="12.75">
      <c r="E24" s="49" t="s">
        <v>0</v>
      </c>
      <c r="F24" s="50">
        <f>F26/F22</f>
        <v>19.084558739666846</v>
      </c>
      <c r="G24" s="12"/>
      <c r="H24" s="2">
        <f>J17</f>
        <v>0.15633089941471875</v>
      </c>
      <c r="I24" s="51" t="s">
        <v>19</v>
      </c>
      <c r="K24" s="16"/>
      <c r="L24" s="64"/>
      <c r="M24"/>
    </row>
    <row r="25" spans="2:14" ht="12.75">
      <c r="B25" s="36"/>
      <c r="C25" s="37"/>
      <c r="E25" s="49" t="s">
        <v>48</v>
      </c>
      <c r="F25" s="50">
        <f>44/12*F24</f>
        <v>69.97671537877844</v>
      </c>
      <c r="H25" s="6">
        <f>44/12*H24</f>
        <v>0.5732132978539688</v>
      </c>
      <c r="I25" s="51" t="s">
        <v>49</v>
      </c>
      <c r="L25" s="64"/>
      <c r="M25"/>
      <c r="N25" s="5"/>
    </row>
    <row r="26" spans="1:13" ht="12.75">
      <c r="A26"/>
      <c r="B26" s="36"/>
      <c r="C26" s="37"/>
      <c r="E26" s="35" t="s">
        <v>22</v>
      </c>
      <c r="F26" s="17">
        <f>G17</f>
        <v>0.5695272878240505</v>
      </c>
      <c r="H26" s="2">
        <f>L17</f>
        <v>0.0037421071343387777</v>
      </c>
      <c r="I26" s="9" t="s">
        <v>68</v>
      </c>
      <c r="L26" s="38"/>
      <c r="M26"/>
    </row>
    <row r="27" spans="2:9" ht="12.75">
      <c r="B27" s="36"/>
      <c r="C27" s="37"/>
      <c r="E27" s="53" t="s">
        <v>52</v>
      </c>
      <c r="F27" s="50">
        <f>F26*F21</f>
        <v>0.9110089176246388</v>
      </c>
      <c r="H27" s="2">
        <f>N17</f>
        <v>0.00809172529073086</v>
      </c>
      <c r="I27" s="54" t="s">
        <v>69</v>
      </c>
    </row>
    <row r="28" spans="2:11" ht="12.75">
      <c r="B28" s="36"/>
      <c r="C28" s="37"/>
      <c r="E28" s="35" t="s">
        <v>42</v>
      </c>
      <c r="F28" s="16">
        <f>44/12*F26</f>
        <v>2.0882667220215185</v>
      </c>
      <c r="H28" s="6">
        <f>44/12*H26</f>
        <v>0.013721059492575518</v>
      </c>
      <c r="I28" s="8" t="s">
        <v>70</v>
      </c>
      <c r="K28" s="5"/>
    </row>
    <row r="29" spans="2:9" ht="12.75">
      <c r="B29" s="36"/>
      <c r="C29" s="37"/>
      <c r="E29" s="53" t="s">
        <v>53</v>
      </c>
      <c r="F29" s="55">
        <f>44/12*F27</f>
        <v>3.340366031290342</v>
      </c>
      <c r="G29" s="5"/>
      <c r="H29" s="2">
        <f>44/12*H27</f>
        <v>0.029669659399346487</v>
      </c>
      <c r="I29" s="54" t="s">
        <v>71</v>
      </c>
    </row>
    <row r="30" spans="2:11" ht="12.75">
      <c r="B30" s="36"/>
      <c r="C30" s="37"/>
      <c r="K30" s="4"/>
    </row>
    <row r="31" spans="1:3" ht="15.75">
      <c r="A31" s="56" t="s">
        <v>60</v>
      </c>
      <c r="C31" s="47"/>
    </row>
    <row r="32" spans="2:4" ht="12.75">
      <c r="B32" s="40"/>
      <c r="C32" s="38"/>
      <c r="D32" s="39"/>
    </row>
    <row r="33" spans="2:4" ht="12.75">
      <c r="B33" s="40"/>
      <c r="C33" s="38"/>
      <c r="D33" s="39"/>
    </row>
    <row r="36" spans="3:8" ht="12.75">
      <c r="C36" s="11"/>
      <c r="D36" s="11"/>
      <c r="E36" s="11"/>
      <c r="F36" s="11"/>
      <c r="G36" s="11"/>
      <c r="H36" s="11"/>
    </row>
    <row r="37" spans="3:8" ht="12.75">
      <c r="C37" s="11"/>
      <c r="D37" s="11"/>
      <c r="E37" s="11"/>
      <c r="F37" s="11"/>
      <c r="G37" s="11"/>
      <c r="H37" s="11"/>
    </row>
    <row r="38" spans="3:8" ht="12.75">
      <c r="C38" s="11"/>
      <c r="D38" s="11"/>
      <c r="E38" s="11"/>
      <c r="F38" s="11"/>
      <c r="G38" s="11"/>
      <c r="H38" s="11"/>
    </row>
    <row r="39" spans="8:11" ht="12.75">
      <c r="H39" s="11"/>
      <c r="I39" s="6"/>
      <c r="J39" s="6"/>
      <c r="K39" s="6"/>
    </row>
    <row r="40" spans="8:11" ht="12.75">
      <c r="H40" s="11"/>
      <c r="I40" s="6"/>
      <c r="J40" s="6"/>
      <c r="K40" s="6"/>
    </row>
    <row r="41" spans="8:11" ht="12.75">
      <c r="H41" s="11"/>
      <c r="I41" s="6"/>
      <c r="J41" s="6"/>
      <c r="K41" s="6"/>
    </row>
  </sheetData>
  <sheetProtection password="833D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91" r:id="rId13"/>
  <headerFooter alignWithMargins="0">
    <oddFooter>&amp;C&amp;A</oddFooter>
  </headerFooter>
  <legacyDrawing r:id="rId12"/>
  <oleObjects>
    <oleObject progId="Equation.3" shapeId="729850" r:id="rId2"/>
    <oleObject progId="Equation.3" shapeId="729851" r:id="rId3"/>
    <oleObject progId="Equation.3" shapeId="729852" r:id="rId4"/>
    <oleObject progId="Equation.3" shapeId="114755" r:id="rId5"/>
    <oleObject progId="Equation.3" shapeId="333274" r:id="rId6"/>
    <oleObject progId="Equation.3" shapeId="336583" r:id="rId7"/>
    <oleObject progId="Equation.3" shapeId="945992" r:id="rId8"/>
    <oleObject progId="Equation.3" shapeId="945993" r:id="rId9"/>
    <oleObject progId="Equation.3" shapeId="945994" r:id="rId10"/>
    <oleObject progId="Equation.3" shapeId="945995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G3" sqref="G3"/>
    </sheetView>
  </sheetViews>
  <sheetFormatPr defaultColWidth="9.00390625" defaultRowHeight="12.75"/>
  <cols>
    <col min="1" max="1" width="16.75390625" style="24" customWidth="1"/>
    <col min="2" max="2" width="6.25390625" style="24" customWidth="1"/>
    <col min="3" max="3" width="14.25390625" style="24" customWidth="1"/>
    <col min="4" max="4" width="13.625" style="24" customWidth="1"/>
    <col min="5" max="5" width="11.375" style="24" customWidth="1"/>
    <col min="6" max="6" width="9.125" style="24" customWidth="1"/>
    <col min="7" max="7" width="13.00390625" style="24" customWidth="1"/>
    <col min="8" max="9" width="9.125" style="24" customWidth="1"/>
    <col min="10" max="10" width="11.625" style="24" customWidth="1"/>
    <col min="11" max="14" width="9.125" style="24" customWidth="1"/>
    <col min="15" max="15" width="12.125" style="24" customWidth="1"/>
    <col min="16" max="16" width="9.125" style="24" customWidth="1"/>
    <col min="17" max="17" width="13.125" style="24" customWidth="1"/>
    <col min="18" max="16384" width="9.125" style="24" customWidth="1"/>
  </cols>
  <sheetData>
    <row r="1" spans="2:15" s="20" customFormat="1" ht="12.75">
      <c r="B1" s="21" t="s">
        <v>29</v>
      </c>
      <c r="C1" s="7" t="s">
        <v>22</v>
      </c>
      <c r="D1" s="10" t="s">
        <v>41</v>
      </c>
      <c r="E1" s="7" t="s">
        <v>25</v>
      </c>
      <c r="F1" s="7" t="s">
        <v>26</v>
      </c>
      <c r="G1" s="65" t="s">
        <v>57</v>
      </c>
      <c r="H1" s="66"/>
      <c r="I1" s="22" t="s">
        <v>45</v>
      </c>
      <c r="J1" s="3" t="s">
        <v>0</v>
      </c>
      <c r="K1" s="5" t="s">
        <v>39</v>
      </c>
      <c r="L1" s="32">
        <v>12.0107</v>
      </c>
      <c r="M1" s="32">
        <v>1.00794</v>
      </c>
      <c r="N1" s="32">
        <v>15.9994</v>
      </c>
      <c r="O1" s="32">
        <v>14.00674</v>
      </c>
    </row>
    <row r="2" spans="2:15" s="20" customFormat="1" ht="12.75">
      <c r="B2" s="21" t="s">
        <v>34</v>
      </c>
      <c r="C2" s="3" t="s">
        <v>58</v>
      </c>
      <c r="D2" s="3" t="s">
        <v>59</v>
      </c>
      <c r="E2" s="4" t="s">
        <v>35</v>
      </c>
      <c r="F2" s="4" t="s">
        <v>36</v>
      </c>
      <c r="G2" s="3" t="s">
        <v>35</v>
      </c>
      <c r="H2" s="4" t="s">
        <v>36</v>
      </c>
      <c r="I2" s="4" t="s">
        <v>37</v>
      </c>
      <c r="J2" s="4" t="s">
        <v>38</v>
      </c>
      <c r="K2" s="18" t="s">
        <v>40</v>
      </c>
      <c r="L2" s="33"/>
      <c r="M2" s="33"/>
      <c r="N2" s="33"/>
      <c r="O2" s="33"/>
    </row>
    <row r="3" spans="1:15" s="20" customFormat="1" ht="12.75">
      <c r="A3" s="11" t="s">
        <v>5</v>
      </c>
      <c r="B3" s="21">
        <f aca="true" t="shared" si="0" ref="B3:B11">$L$1*$L3+$M$1*$M3+$N$1*$N3+$O$1*$O3</f>
        <v>2.01588</v>
      </c>
      <c r="C3" s="1">
        <f aca="true" t="shared" si="1" ref="C3:C11">$L$1*L3/($L$1*L3+$M$1*M3+$N$1*N3+$O$1*O3)</f>
        <v>0</v>
      </c>
      <c r="D3" s="1">
        <f>C3*I3</f>
        <v>0</v>
      </c>
      <c r="E3" s="67">
        <v>0.12005</v>
      </c>
      <c r="F3" s="23">
        <f>E3*I3*1000</f>
        <v>10.797724139905737</v>
      </c>
      <c r="G3" s="68">
        <v>0.141869</v>
      </c>
      <c r="H3" s="1">
        <f>G3*I3*1000</f>
        <v>12.760202632272279</v>
      </c>
      <c r="I3" s="1">
        <f aca="true" t="shared" si="2" ref="I3:I16">$K$19*B3/(8.314*$M$18)</f>
        <v>0.08994355801670752</v>
      </c>
      <c r="J3" s="1">
        <f>C3/E3</f>
        <v>0</v>
      </c>
      <c r="K3" s="6">
        <f>44/12*J3</f>
        <v>0</v>
      </c>
      <c r="L3" s="34">
        <v>0</v>
      </c>
      <c r="M3" s="34">
        <v>2</v>
      </c>
      <c r="N3" s="34">
        <v>0</v>
      </c>
      <c r="O3" s="34">
        <v>0</v>
      </c>
    </row>
    <row r="4" spans="1:15" s="20" customFormat="1" ht="12.75">
      <c r="A4" s="11" t="s">
        <v>6</v>
      </c>
      <c r="B4" s="21">
        <f t="shared" si="0"/>
        <v>44.0095</v>
      </c>
      <c r="C4" s="1">
        <f t="shared" si="1"/>
        <v>0.2729115304650132</v>
      </c>
      <c r="D4" s="1">
        <f aca="true" t="shared" si="3" ref="D4:D11">C4*I4</f>
        <v>0.5358875986027287</v>
      </c>
      <c r="E4" s="68">
        <v>0</v>
      </c>
      <c r="F4" s="23">
        <f aca="true" t="shared" si="4" ref="F4:F11">E4*I4*1000</f>
        <v>0</v>
      </c>
      <c r="G4" s="68">
        <v>0</v>
      </c>
      <c r="H4" s="1">
        <f aca="true" t="shared" si="5" ref="H4:H11">G4*I4*1000</f>
        <v>0</v>
      </c>
      <c r="I4" s="1">
        <f t="shared" si="2"/>
        <v>1.963594567402965</v>
      </c>
      <c r="J4" s="1" t="s">
        <v>4</v>
      </c>
      <c r="K4" s="30" t="s">
        <v>4</v>
      </c>
      <c r="L4" s="34">
        <v>1</v>
      </c>
      <c r="M4" s="34">
        <v>0</v>
      </c>
      <c r="N4" s="34">
        <v>2</v>
      </c>
      <c r="O4" s="34">
        <v>0</v>
      </c>
    </row>
    <row r="5" spans="1:15" s="20" customFormat="1" ht="12.75">
      <c r="A5" s="11" t="s">
        <v>7</v>
      </c>
      <c r="B5" s="21">
        <f t="shared" si="0"/>
        <v>28.0101</v>
      </c>
      <c r="C5" s="1">
        <f t="shared" si="1"/>
        <v>0.42879889754053</v>
      </c>
      <c r="D5" s="1">
        <f t="shared" si="3"/>
        <v>0.5358875986027288</v>
      </c>
      <c r="E5" s="67">
        <v>0.01009</v>
      </c>
      <c r="F5" s="23">
        <f t="shared" si="4"/>
        <v>12.609887527498728</v>
      </c>
      <c r="G5" s="68">
        <v>0.01009</v>
      </c>
      <c r="H5" s="1">
        <f t="shared" si="5"/>
        <v>12.609887527498728</v>
      </c>
      <c r="I5" s="1">
        <f t="shared" si="2"/>
        <v>1.249741083002847</v>
      </c>
      <c r="J5" s="1">
        <f aca="true" t="shared" si="6" ref="J5:J14">C5/E5</f>
        <v>42.4974130367225</v>
      </c>
      <c r="K5" s="6">
        <f aca="true" t="shared" si="7" ref="K5:K11">44/12*J5</f>
        <v>155.82384780131582</v>
      </c>
      <c r="L5" s="34">
        <v>1</v>
      </c>
      <c r="M5" s="34">
        <v>0</v>
      </c>
      <c r="N5" s="34">
        <v>1</v>
      </c>
      <c r="O5" s="34">
        <v>0</v>
      </c>
    </row>
    <row r="6" spans="1:15" s="20" customFormat="1" ht="12.75">
      <c r="A6" s="11" t="s">
        <v>8</v>
      </c>
      <c r="B6" s="21">
        <f t="shared" si="0"/>
        <v>16.04246</v>
      </c>
      <c r="C6" s="1">
        <f t="shared" si="1"/>
        <v>0.7486819353141602</v>
      </c>
      <c r="D6" s="1">
        <f t="shared" si="3"/>
        <v>0.5358875986027287</v>
      </c>
      <c r="E6" s="69">
        <v>0.050065</v>
      </c>
      <c r="F6" s="23">
        <f t="shared" si="4"/>
        <v>35.83526108825853</v>
      </c>
      <c r="G6" s="68">
        <v>0.05555</v>
      </c>
      <c r="H6" s="1">
        <f t="shared" si="5"/>
        <v>39.76128539803778</v>
      </c>
      <c r="I6" s="1">
        <f t="shared" si="2"/>
        <v>0.7157747146361436</v>
      </c>
      <c r="J6" s="1">
        <f t="shared" si="6"/>
        <v>14.954198248560076</v>
      </c>
      <c r="K6" s="6">
        <f t="shared" si="7"/>
        <v>54.832060244720275</v>
      </c>
      <c r="L6" s="34">
        <v>1</v>
      </c>
      <c r="M6" s="34">
        <v>4</v>
      </c>
      <c r="N6" s="34">
        <v>0</v>
      </c>
      <c r="O6" s="34">
        <v>0</v>
      </c>
    </row>
    <row r="7" spans="1:15" s="20" customFormat="1" ht="12.75">
      <c r="A7" s="11" t="s">
        <v>9</v>
      </c>
      <c r="B7" s="21">
        <f t="shared" si="0"/>
        <v>30.06904</v>
      </c>
      <c r="C7" s="1">
        <f t="shared" si="1"/>
        <v>0.7988748559980631</v>
      </c>
      <c r="D7" s="1">
        <f t="shared" si="3"/>
        <v>1.0717751972054574</v>
      </c>
      <c r="E7" s="70">
        <v>0.04751</v>
      </c>
      <c r="F7" s="23">
        <f t="shared" si="4"/>
        <v>63.7396949433526</v>
      </c>
      <c r="G7" s="68">
        <v>0.051949999999999996</v>
      </c>
      <c r="H7" s="1">
        <f t="shared" si="5"/>
        <v>69.69642501172737</v>
      </c>
      <c r="I7" s="1">
        <f t="shared" si="2"/>
        <v>1.34160587125558</v>
      </c>
      <c r="J7" s="1">
        <f t="shared" si="6"/>
        <v>16.814878046686236</v>
      </c>
      <c r="K7" s="6">
        <f t="shared" si="7"/>
        <v>61.65455283784953</v>
      </c>
      <c r="L7" s="34">
        <v>2</v>
      </c>
      <c r="M7" s="34">
        <v>6</v>
      </c>
      <c r="N7" s="34">
        <v>0</v>
      </c>
      <c r="O7" s="34">
        <v>0</v>
      </c>
    </row>
    <row r="8" spans="1:15" s="20" customFormat="1" ht="12.75">
      <c r="A8" s="11" t="s">
        <v>10</v>
      </c>
      <c r="B8" s="21">
        <f t="shared" si="0"/>
        <v>44.09562</v>
      </c>
      <c r="C8" s="1">
        <f t="shared" si="1"/>
        <v>0.8171355794521089</v>
      </c>
      <c r="D8" s="1">
        <f t="shared" si="3"/>
        <v>1.6076627958081862</v>
      </c>
      <c r="E8" s="69">
        <v>0.04638</v>
      </c>
      <c r="F8" s="23">
        <f t="shared" si="4"/>
        <v>91.24972935284323</v>
      </c>
      <c r="G8" s="68">
        <v>0.05036</v>
      </c>
      <c r="H8" s="1">
        <f t="shared" si="5"/>
        <v>99.08012872378582</v>
      </c>
      <c r="I8" s="1">
        <f t="shared" si="2"/>
        <v>1.967437027875016</v>
      </c>
      <c r="J8" s="1">
        <f t="shared" si="6"/>
        <v>17.618274675552154</v>
      </c>
      <c r="K8" s="6">
        <f t="shared" si="7"/>
        <v>64.60034047702456</v>
      </c>
      <c r="L8" s="34">
        <v>3</v>
      </c>
      <c r="M8" s="34">
        <v>8</v>
      </c>
      <c r="N8" s="34">
        <v>0</v>
      </c>
      <c r="O8" s="34">
        <v>0</v>
      </c>
    </row>
    <row r="9" spans="1:15" s="20" customFormat="1" ht="12.75">
      <c r="A9" s="11" t="s">
        <v>11</v>
      </c>
      <c r="B9" s="21">
        <f t="shared" si="0"/>
        <v>58.1222</v>
      </c>
      <c r="C9" s="1">
        <f t="shared" si="1"/>
        <v>0.8265826138721521</v>
      </c>
      <c r="D9" s="1">
        <f t="shared" si="3"/>
        <v>2.1435503944109153</v>
      </c>
      <c r="E9" s="69">
        <v>0.04575</v>
      </c>
      <c r="F9" s="23">
        <f t="shared" si="4"/>
        <v>118.64201944062121</v>
      </c>
      <c r="G9" s="68">
        <v>0.04956</v>
      </c>
      <c r="H9" s="1">
        <f t="shared" si="5"/>
        <v>128.52237122354506</v>
      </c>
      <c r="I9" s="1">
        <f t="shared" si="2"/>
        <v>2.5932681844944527</v>
      </c>
      <c r="J9" s="1">
        <f t="shared" si="6"/>
        <v>18.06737953818912</v>
      </c>
      <c r="K9" s="6">
        <f t="shared" si="7"/>
        <v>66.24705830669343</v>
      </c>
      <c r="L9" s="34">
        <v>4</v>
      </c>
      <c r="M9" s="34">
        <v>10</v>
      </c>
      <c r="N9" s="34">
        <v>0</v>
      </c>
      <c r="O9" s="34">
        <v>0</v>
      </c>
    </row>
    <row r="10" spans="1:15" ht="12.75">
      <c r="A10" s="11" t="s">
        <v>62</v>
      </c>
      <c r="B10" s="21">
        <f t="shared" si="0"/>
        <v>72.14878</v>
      </c>
      <c r="C10" s="1">
        <f t="shared" si="1"/>
        <v>0.8323564168375404</v>
      </c>
      <c r="D10" s="1">
        <f t="shared" si="3"/>
        <v>2.6794379930136434</v>
      </c>
      <c r="E10" s="67">
        <v>0.044882</v>
      </c>
      <c r="F10" s="23">
        <f t="shared" si="4"/>
        <v>144.47961662787353</v>
      </c>
      <c r="G10" s="71">
        <v>0.048651</v>
      </c>
      <c r="H10" s="1">
        <f t="shared" si="5"/>
        <v>156.61240204453182</v>
      </c>
      <c r="I10" s="1">
        <f t="shared" si="2"/>
        <v>3.2190993411138886</v>
      </c>
      <c r="J10" s="1">
        <f t="shared" si="6"/>
        <v>18.545439526704257</v>
      </c>
      <c r="K10" s="6">
        <f t="shared" si="7"/>
        <v>67.99994493124893</v>
      </c>
      <c r="L10" s="32">
        <v>5</v>
      </c>
      <c r="M10" s="32">
        <v>12</v>
      </c>
      <c r="N10" s="34">
        <v>0</v>
      </c>
      <c r="O10" s="34">
        <v>0</v>
      </c>
    </row>
    <row r="11" spans="1:15" ht="12.75">
      <c r="A11" s="11" t="s">
        <v>63</v>
      </c>
      <c r="B11" s="21">
        <f t="shared" si="0"/>
        <v>86.17536</v>
      </c>
      <c r="C11" s="1">
        <f t="shared" si="1"/>
        <v>0.8362506405543302</v>
      </c>
      <c r="D11" s="1">
        <f t="shared" si="3"/>
        <v>3.2153255916163728</v>
      </c>
      <c r="E11" s="71">
        <v>0.04438</v>
      </c>
      <c r="F11" s="23">
        <f t="shared" si="4"/>
        <v>170.63801548940498</v>
      </c>
      <c r="G11" s="71">
        <v>0.048148</v>
      </c>
      <c r="H11" s="1">
        <f t="shared" si="5"/>
        <v>185.12571360486416</v>
      </c>
      <c r="I11" s="1">
        <f t="shared" si="2"/>
        <v>3.844930497733325</v>
      </c>
      <c r="J11" s="1">
        <f t="shared" si="6"/>
        <v>18.842961706947502</v>
      </c>
      <c r="K11" s="6">
        <f t="shared" si="7"/>
        <v>69.09085959214084</v>
      </c>
      <c r="L11" s="32">
        <v>6</v>
      </c>
      <c r="M11" s="32">
        <v>14</v>
      </c>
      <c r="N11" s="34">
        <v>0</v>
      </c>
      <c r="O11" s="34">
        <v>0</v>
      </c>
    </row>
    <row r="12" spans="1:15" s="20" customFormat="1" ht="12.75">
      <c r="A12" s="11" t="s">
        <v>12</v>
      </c>
      <c r="B12" s="21">
        <f>$L$1*$L12+$M$1*$M12+$N$1*$N12+$O$1*$O12</f>
        <v>28.05316</v>
      </c>
      <c r="C12" s="1">
        <f>$L$1*L12/($L$1*L12+$M$1*M12+$N$1*N12+$O$1*O12)</f>
        <v>0.8562814313966769</v>
      </c>
      <c r="D12" s="1">
        <f>C12*I12</f>
        <v>1.0717751972054574</v>
      </c>
      <c r="E12" s="68">
        <v>0.04718</v>
      </c>
      <c r="F12" s="23">
        <f>E12*I12*1000</f>
        <v>59.05342793861</v>
      </c>
      <c r="G12" s="68">
        <v>0.05032</v>
      </c>
      <c r="H12" s="1">
        <f>G12*I12*1000</f>
        <v>62.983647602180056</v>
      </c>
      <c r="I12" s="1">
        <f t="shared" si="2"/>
        <v>1.2516623132388724</v>
      </c>
      <c r="J12" s="1">
        <f t="shared" si="6"/>
        <v>18.149246108450125</v>
      </c>
      <c r="K12" s="6">
        <f>44/12*J12</f>
        <v>66.54723573098379</v>
      </c>
      <c r="L12" s="34">
        <v>2</v>
      </c>
      <c r="M12" s="34">
        <v>4</v>
      </c>
      <c r="N12" s="34">
        <v>0</v>
      </c>
      <c r="O12" s="34">
        <v>0</v>
      </c>
    </row>
    <row r="13" spans="1:15" s="20" customFormat="1" ht="12.75">
      <c r="A13" s="11" t="s">
        <v>13</v>
      </c>
      <c r="B13" s="21">
        <f>$L$1*$L13+$M$1*$M13+$N$1*$N13+$O$1*$O13</f>
        <v>42.07974</v>
      </c>
      <c r="C13" s="1">
        <f>$L$1*L13/($L$1*L13+$M$1*M13+$N$1*N13+$O$1*O13)</f>
        <v>0.8562814313966769</v>
      </c>
      <c r="D13" s="1">
        <f>C13*I13</f>
        <v>1.6076627958081864</v>
      </c>
      <c r="E13" s="68">
        <v>0.04579</v>
      </c>
      <c r="F13" s="23">
        <f>E13*I13*1000</f>
        <v>85.97042598481195</v>
      </c>
      <c r="G13" s="68">
        <v>0.04893</v>
      </c>
      <c r="H13" s="1">
        <f>G13*I13*1000</f>
        <v>91.86575548016705</v>
      </c>
      <c r="I13" s="1">
        <f t="shared" si="2"/>
        <v>1.8774934698583088</v>
      </c>
      <c r="J13" s="1">
        <f t="shared" si="6"/>
        <v>18.700184131833957</v>
      </c>
      <c r="K13" s="6">
        <f>44/12*J13</f>
        <v>68.56734181672451</v>
      </c>
      <c r="L13" s="34">
        <v>3</v>
      </c>
      <c r="M13" s="34">
        <v>6</v>
      </c>
      <c r="N13" s="34">
        <v>0</v>
      </c>
      <c r="O13" s="34">
        <v>0</v>
      </c>
    </row>
    <row r="14" spans="1:15" s="20" customFormat="1" ht="12.75">
      <c r="A14" s="11" t="s">
        <v>14</v>
      </c>
      <c r="B14" s="21">
        <f>$L$1*$L14+$M$1*$M14+$N$1*$N14+$O$1*$O14</f>
        <v>26.03728</v>
      </c>
      <c r="C14" s="1">
        <f>$L$1*L14/($L$1*L14+$M$1*M14+$N$1*N14+$O$1*O14)</f>
        <v>0.9225771662785053</v>
      </c>
      <c r="D14" s="1">
        <f>C14*I14</f>
        <v>1.0717751972054574</v>
      </c>
      <c r="E14" s="68">
        <v>0.04856</v>
      </c>
      <c r="F14" s="23">
        <f>E14*I14*1000</f>
        <v>56.41306275358832</v>
      </c>
      <c r="G14" s="68">
        <v>0.05023</v>
      </c>
      <c r="H14" s="1">
        <f>G14*I14*1000</f>
        <v>58.353133074809335</v>
      </c>
      <c r="I14" s="1">
        <f t="shared" si="2"/>
        <v>1.1617187552221648</v>
      </c>
      <c r="J14" s="1">
        <f t="shared" si="6"/>
        <v>18.998706060101014</v>
      </c>
      <c r="K14" s="6">
        <f>44/12*J14</f>
        <v>69.66192222037039</v>
      </c>
      <c r="L14" s="34">
        <v>2</v>
      </c>
      <c r="M14" s="34">
        <v>2</v>
      </c>
      <c r="N14" s="34">
        <v>0</v>
      </c>
      <c r="O14" s="34">
        <v>0</v>
      </c>
    </row>
    <row r="15" spans="1:15" s="20" customFormat="1" ht="12.75">
      <c r="A15" s="11" t="s">
        <v>17</v>
      </c>
      <c r="B15" s="21">
        <f>$L$1*$L15+$M$1*$M15+$N$1*$N15+$O$1*$O15</f>
        <v>31.9988</v>
      </c>
      <c r="C15" s="6">
        <f>$L$1*L15/($L$1*L15+$M$1*M15+$N$1*N15+$O$1*O15)</f>
        <v>0</v>
      </c>
      <c r="D15" s="1">
        <f>C15*I15</f>
        <v>0</v>
      </c>
      <c r="E15" s="68">
        <v>0</v>
      </c>
      <c r="F15" s="23">
        <f>E15*I15*1000</f>
        <v>0</v>
      </c>
      <c r="G15" s="68">
        <v>0</v>
      </c>
      <c r="H15" s="1">
        <f>G15*I15*1000</f>
        <v>0</v>
      </c>
      <c r="I15" s="1">
        <f t="shared" si="2"/>
        <v>1.4277069688002362</v>
      </c>
      <c r="J15" s="1" t="s">
        <v>4</v>
      </c>
      <c r="K15" s="30" t="s">
        <v>4</v>
      </c>
      <c r="L15" s="34">
        <v>0</v>
      </c>
      <c r="M15" s="34">
        <v>0</v>
      </c>
      <c r="N15" s="34">
        <v>2</v>
      </c>
      <c r="O15" s="34">
        <v>0</v>
      </c>
    </row>
    <row r="16" spans="1:15" s="20" customFormat="1" ht="12.75">
      <c r="A16" s="11" t="s">
        <v>15</v>
      </c>
      <c r="B16" s="21">
        <f>$L$1*$L16+$M$1*$M16+$N$1*$N16+$O$1*$O16</f>
        <v>28.01348</v>
      </c>
      <c r="C16" s="1">
        <f>$L$1*L16/($L$1*L16+$M$1*M16+$N$1*N16+$O$1*O16)</f>
        <v>0</v>
      </c>
      <c r="D16" s="1">
        <f>C16*I16</f>
        <v>0</v>
      </c>
      <c r="E16" s="68">
        <v>0</v>
      </c>
      <c r="F16" s="23">
        <f>E16*I16*1000</f>
        <v>0</v>
      </c>
      <c r="G16" s="68">
        <v>0</v>
      </c>
      <c r="H16" s="1">
        <f>G16*I16*1000</f>
        <v>0</v>
      </c>
      <c r="I16" s="1">
        <f t="shared" si="2"/>
        <v>1.2498918902066964</v>
      </c>
      <c r="J16" s="1" t="s">
        <v>4</v>
      </c>
      <c r="K16" s="30" t="s">
        <v>4</v>
      </c>
      <c r="L16" s="34">
        <v>0</v>
      </c>
      <c r="M16" s="34">
        <v>0</v>
      </c>
      <c r="N16" s="34">
        <v>0</v>
      </c>
      <c r="O16" s="34">
        <v>2</v>
      </c>
    </row>
    <row r="17" s="20" customFormat="1" ht="12.75"/>
    <row r="18" spans="2:14" ht="12.75">
      <c r="B18"/>
      <c r="C18" s="20"/>
      <c r="D18" s="20"/>
      <c r="I18" s="26" t="s">
        <v>46</v>
      </c>
      <c r="J18" s="24" t="s">
        <v>64</v>
      </c>
      <c r="K18" s="31">
        <f>Vypocet!B20</f>
        <v>0</v>
      </c>
      <c r="L18" s="45" t="s">
        <v>47</v>
      </c>
      <c r="M18" s="44">
        <f>273.15+K18</f>
        <v>273.15</v>
      </c>
      <c r="N18" s="43" t="s">
        <v>28</v>
      </c>
    </row>
    <row r="19" spans="10:12" ht="12.75">
      <c r="J19" s="24" t="s">
        <v>65</v>
      </c>
      <c r="K19" s="46">
        <f>Vypocet!B21</f>
        <v>101.325</v>
      </c>
      <c r="L19" s="24" t="s">
        <v>27</v>
      </c>
    </row>
    <row r="20" spans="9:10" ht="12.75">
      <c r="I20" s="20"/>
      <c r="J20" s="23"/>
    </row>
    <row r="21" spans="5:12" ht="12.75">
      <c r="E21" s="57"/>
      <c r="I21" s="29"/>
      <c r="J21" s="23"/>
      <c r="L21" s="20"/>
    </row>
    <row r="22" spans="5:13" ht="12.75">
      <c r="E22" s="57"/>
      <c r="J22" s="23"/>
      <c r="M22" s="22"/>
    </row>
    <row r="23" spans="10:13" ht="12.75">
      <c r="J23" s="23"/>
      <c r="M23" s="4"/>
    </row>
    <row r="24" spans="10:13" ht="12.75">
      <c r="J24" s="23"/>
      <c r="M24" s="1"/>
    </row>
    <row r="25" spans="10:13" ht="12.75">
      <c r="J25" s="23"/>
      <c r="M25" s="1"/>
    </row>
    <row r="26" spans="10:13" ht="12.75">
      <c r="J26" s="23"/>
      <c r="M26" s="1"/>
    </row>
    <row r="27" ht="12.75">
      <c r="M27" s="1"/>
    </row>
    <row r="28" ht="12.75">
      <c r="M28" s="1"/>
    </row>
    <row r="29" ht="12.75">
      <c r="M29" s="1"/>
    </row>
    <row r="30" ht="12.75">
      <c r="M30" s="1"/>
    </row>
    <row r="31" ht="12.75">
      <c r="M31" s="1"/>
    </row>
    <row r="32" ht="12.75">
      <c r="M32" s="1"/>
    </row>
    <row r="33" ht="12.75">
      <c r="M33" s="1"/>
    </row>
    <row r="34" ht="12.75">
      <c r="M34" s="2"/>
    </row>
    <row r="35" ht="12.75">
      <c r="M35" s="6"/>
    </row>
  </sheetData>
  <sheetProtection password="833D" sheet="1" objects="1" scenarios="1"/>
  <mergeCells count="1">
    <mergeCell ref="G1:H1"/>
  </mergeCells>
  <printOptions/>
  <pageMargins left="0.75" right="0.75" top="1" bottom="1" header="0.4921259845" footer="0.4921259845"/>
  <pageSetup fitToHeight="1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Kovář, Fott</dc:creator>
  <cp:keywords/>
  <dc:description/>
  <cp:lastModifiedBy>Dušan Vácha</cp:lastModifiedBy>
  <cp:lastPrinted>2009-10-02T09:03:14Z</cp:lastPrinted>
  <dcterms:created xsi:type="dcterms:W3CDTF">2003-09-01T18:40:31Z</dcterms:created>
  <dcterms:modified xsi:type="dcterms:W3CDTF">2009-10-02T09:03:42Z</dcterms:modified>
  <cp:category/>
  <cp:version/>
  <cp:contentType/>
  <cp:contentStatus/>
</cp:coreProperties>
</file>