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952" windowHeight="9120"/>
  </bookViews>
  <sheets>
    <sheet name="2A5b recalculation_2024" sheetId="1" r:id="rId1"/>
    <sheet name="calc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1" l="1"/>
  <c r="P31" i="1"/>
  <c r="Q31" i="1"/>
  <c r="O32" i="1"/>
  <c r="P32" i="1"/>
  <c r="Q32" i="1"/>
  <c r="O33" i="1"/>
  <c r="P33" i="1"/>
  <c r="Q33" i="1"/>
  <c r="O34" i="1"/>
  <c r="P34" i="1"/>
  <c r="Q34" i="1"/>
  <c r="O35" i="1"/>
  <c r="P35" i="1"/>
  <c r="Q35" i="1"/>
  <c r="O36" i="1"/>
  <c r="P36" i="1"/>
  <c r="Q36" i="1"/>
  <c r="O37" i="1"/>
  <c r="P37" i="1"/>
  <c r="Q37" i="1"/>
  <c r="O21" i="1"/>
  <c r="P21" i="1"/>
  <c r="Q21" i="1"/>
  <c r="O22" i="1"/>
  <c r="P22" i="1"/>
  <c r="Q22" i="1"/>
  <c r="O23" i="1"/>
  <c r="P23" i="1"/>
  <c r="Q23" i="1"/>
  <c r="O24" i="1"/>
  <c r="P24" i="1"/>
  <c r="Q24" i="1"/>
  <c r="O25" i="1"/>
  <c r="P25" i="1"/>
  <c r="Q25" i="1"/>
  <c r="O26" i="1"/>
  <c r="P26" i="1"/>
  <c r="Q26" i="1"/>
  <c r="O27" i="1"/>
  <c r="P27" i="1"/>
  <c r="Q27" i="1"/>
  <c r="O28" i="1"/>
  <c r="P28" i="1"/>
  <c r="Q28" i="1"/>
  <c r="O16" i="1"/>
  <c r="P16" i="1"/>
  <c r="Q16" i="1"/>
  <c r="O17" i="1"/>
  <c r="P17" i="1"/>
  <c r="Q17" i="1"/>
  <c r="O19" i="1"/>
  <c r="P19" i="1"/>
  <c r="Q19" i="1"/>
  <c r="O20" i="1"/>
  <c r="P20" i="1"/>
  <c r="Q20" i="1"/>
  <c r="J46" i="1"/>
  <c r="S28" i="2" l="1"/>
  <c r="S27" i="2"/>
  <c r="E27" i="2"/>
  <c r="E28" i="2"/>
  <c r="D27" i="2"/>
  <c r="D28" i="2"/>
  <c r="C24" i="2"/>
  <c r="D24" i="2"/>
  <c r="E24" i="2"/>
  <c r="S24" i="2"/>
  <c r="C25" i="2"/>
  <c r="C28" i="2" s="1"/>
  <c r="D25" i="2"/>
  <c r="E25" i="2"/>
  <c r="S25" i="2"/>
  <c r="C27" i="2"/>
  <c r="E42" i="1" l="1"/>
  <c r="D42" i="1"/>
  <c r="C42" i="1"/>
  <c r="G15" i="1" l="1"/>
  <c r="G14" i="1"/>
  <c r="J14" i="1" s="1"/>
  <c r="Q14" i="1" s="1"/>
  <c r="G7" i="1"/>
  <c r="G8" i="1"/>
  <c r="G9" i="1"/>
  <c r="G10" i="1"/>
  <c r="Y6" i="1"/>
  <c r="G6" i="1" s="1"/>
  <c r="X12" i="1"/>
  <c r="G12" i="1" s="1"/>
  <c r="W11" i="1"/>
  <c r="G11" i="1" s="1"/>
  <c r="V13" i="1"/>
  <c r="G13" i="1" s="1"/>
  <c r="L16" i="1"/>
  <c r="M16" i="1"/>
  <c r="N16" i="1"/>
  <c r="L17" i="1"/>
  <c r="M17" i="1"/>
  <c r="N17" i="1"/>
  <c r="L18" i="1"/>
  <c r="M18" i="1"/>
  <c r="N18" i="1"/>
  <c r="L19" i="1"/>
  <c r="M19" i="1"/>
  <c r="N19" i="1"/>
  <c r="L20" i="1"/>
  <c r="M20" i="1"/>
  <c r="N20" i="1"/>
  <c r="L21" i="1"/>
  <c r="M21" i="1"/>
  <c r="N21" i="1"/>
  <c r="L22" i="1"/>
  <c r="M22" i="1"/>
  <c r="N22" i="1"/>
  <c r="L23" i="1"/>
  <c r="M23" i="1"/>
  <c r="N23" i="1"/>
  <c r="L24" i="1"/>
  <c r="M24" i="1"/>
  <c r="N24" i="1"/>
  <c r="L25" i="1"/>
  <c r="M25" i="1"/>
  <c r="N25" i="1"/>
  <c r="L26" i="1"/>
  <c r="M26" i="1"/>
  <c r="N26" i="1"/>
  <c r="L27" i="1"/>
  <c r="M27" i="1"/>
  <c r="N27" i="1"/>
  <c r="L28" i="1"/>
  <c r="M28" i="1"/>
  <c r="N28" i="1"/>
  <c r="L29" i="1"/>
  <c r="M29" i="1"/>
  <c r="N29" i="1"/>
  <c r="L30" i="1"/>
  <c r="M30" i="1"/>
  <c r="N30" i="1"/>
  <c r="L31" i="1"/>
  <c r="M31" i="1"/>
  <c r="N31" i="1"/>
  <c r="L32" i="1"/>
  <c r="M32" i="1"/>
  <c r="N32" i="1"/>
  <c r="L33" i="1"/>
  <c r="M33" i="1"/>
  <c r="N33" i="1"/>
  <c r="L34" i="1"/>
  <c r="M34" i="1"/>
  <c r="N34" i="1"/>
  <c r="L35" i="1"/>
  <c r="M35" i="1"/>
  <c r="N35" i="1"/>
  <c r="L36" i="1"/>
  <c r="M36" i="1"/>
  <c r="N36" i="1"/>
  <c r="L37" i="1"/>
  <c r="M37" i="1"/>
  <c r="N37" i="1"/>
  <c r="L42" i="1"/>
  <c r="M42" i="1"/>
  <c r="N42" i="1"/>
  <c r="J15" i="1" l="1"/>
  <c r="H15" i="1"/>
  <c r="I14" i="1"/>
  <c r="H14" i="1"/>
  <c r="I15" i="1"/>
  <c r="J8" i="1"/>
  <c r="J6" i="1"/>
  <c r="J7" i="1"/>
  <c r="J10" i="1"/>
  <c r="J11" i="1"/>
  <c r="J12" i="1"/>
  <c r="J13" i="1"/>
  <c r="N14" i="1"/>
  <c r="H6" i="1"/>
  <c r="H12" i="1"/>
  <c r="H8" i="1"/>
  <c r="H9" i="1"/>
  <c r="H13" i="1"/>
  <c r="H7" i="1"/>
  <c r="H10" i="1"/>
  <c r="H11" i="1"/>
  <c r="J9" i="1"/>
  <c r="L11" i="1" l="1"/>
  <c r="O11" i="1"/>
  <c r="N10" i="1"/>
  <c r="Q10" i="1"/>
  <c r="L9" i="1"/>
  <c r="O9" i="1"/>
  <c r="N12" i="1"/>
  <c r="Q12" i="1"/>
  <c r="N11" i="1"/>
  <c r="Q11" i="1"/>
  <c r="L10" i="1"/>
  <c r="O10" i="1"/>
  <c r="L13" i="1"/>
  <c r="O13" i="1"/>
  <c r="M15" i="1"/>
  <c r="P15" i="1"/>
  <c r="L6" i="1"/>
  <c r="O6" i="1"/>
  <c r="N13" i="1"/>
  <c r="Q13" i="1"/>
  <c r="N9" i="1"/>
  <c r="Q9" i="1"/>
  <c r="N7" i="1"/>
  <c r="Q7" i="1"/>
  <c r="L7" i="1"/>
  <c r="O7" i="1"/>
  <c r="N8" i="1"/>
  <c r="Q8" i="1"/>
  <c r="L8" i="1"/>
  <c r="O8" i="1"/>
  <c r="L14" i="1"/>
  <c r="O14" i="1"/>
  <c r="L12" i="1"/>
  <c r="O12" i="1"/>
  <c r="M14" i="1"/>
  <c r="P14" i="1"/>
  <c r="L15" i="1"/>
  <c r="O15" i="1"/>
  <c r="N15" i="1"/>
  <c r="Q15" i="1"/>
  <c r="N6" i="1"/>
  <c r="Q6" i="1"/>
  <c r="I6" i="1"/>
  <c r="I12" i="1"/>
  <c r="I7" i="1"/>
  <c r="I13" i="1"/>
  <c r="I9" i="1"/>
  <c r="I10" i="1"/>
  <c r="I8" i="1"/>
  <c r="I11" i="1"/>
  <c r="M9" i="1" l="1"/>
  <c r="P9" i="1"/>
  <c r="M12" i="1"/>
  <c r="P12" i="1"/>
  <c r="M10" i="1"/>
  <c r="P10" i="1"/>
  <c r="M11" i="1"/>
  <c r="P11" i="1"/>
  <c r="M13" i="1"/>
  <c r="P13" i="1"/>
  <c r="M7" i="1"/>
  <c r="P7" i="1"/>
  <c r="M8" i="1"/>
  <c r="P8" i="1"/>
  <c r="M6" i="1"/>
  <c r="P6" i="1"/>
</calcChain>
</file>

<file path=xl/sharedStrings.xml><?xml version="1.0" encoding="utf-8"?>
<sst xmlns="http://schemas.openxmlformats.org/spreadsheetml/2006/main" count="108" uniqueCount="57">
  <si>
    <r>
      <t>PM</t>
    </r>
    <r>
      <rPr>
        <b/>
        <sz val="6.5"/>
        <color theme="1"/>
        <rFont val="Times New Roman"/>
        <family val="1"/>
        <charset val="238"/>
      </rPr>
      <t>10</t>
    </r>
  </si>
  <si>
    <r>
      <t>PM</t>
    </r>
    <r>
      <rPr>
        <b/>
        <sz val="6.5"/>
        <color theme="1"/>
        <rFont val="Times New Roman"/>
        <family val="1"/>
        <charset val="238"/>
      </rPr>
      <t>2,5</t>
    </r>
  </si>
  <si>
    <t>NFR Code</t>
  </si>
  <si>
    <t>2A5b</t>
  </si>
  <si>
    <t>rozšíření D1 u Prahy</t>
  </si>
  <si>
    <t>D5 hranice rozpočtená 63 km</t>
  </si>
  <si>
    <t>D5 kolem Plzně</t>
  </si>
  <si>
    <t>D8 Zdiby</t>
  </si>
  <si>
    <t>D1</t>
  </si>
  <si>
    <t>D11 (u Prahy jen rozpočet)</t>
  </si>
  <si>
    <t>PM2,5</t>
  </si>
  <si>
    <t>PM10</t>
  </si>
  <si>
    <t>CZ</t>
  </si>
  <si>
    <t>v3.1</t>
  </si>
  <si>
    <t>YEAR</t>
  </si>
  <si>
    <t>v2.0</t>
  </si>
  <si>
    <t>1990 - 2021</t>
  </si>
  <si>
    <t>1990 - 2022</t>
  </si>
  <si>
    <r>
      <t>SUM of PM</t>
    </r>
    <r>
      <rPr>
        <b/>
        <sz val="6.5"/>
        <color rgb="FFFF0000"/>
        <rFont val="Times New Roman"/>
        <family val="1"/>
        <charset val="238"/>
      </rPr>
      <t>2,5</t>
    </r>
  </si>
  <si>
    <r>
      <t>SUM of PM</t>
    </r>
    <r>
      <rPr>
        <b/>
        <sz val="6.5"/>
        <color rgb="FFFF0000"/>
        <rFont val="Times New Roman"/>
        <family val="1"/>
        <charset val="238"/>
      </rPr>
      <t>10</t>
    </r>
  </si>
  <si>
    <t>TSP</t>
  </si>
  <si>
    <t>SUM of TSP</t>
  </si>
  <si>
    <t>from 2000</t>
  </si>
  <si>
    <t>1990 - 1999</t>
  </si>
  <si>
    <t>section of highway</t>
  </si>
  <si>
    <t>Length (km)</t>
  </si>
  <si>
    <t>Residential, commercial</t>
  </si>
  <si>
    <t>SUM</t>
  </si>
  <si>
    <t>kt</t>
  </si>
  <si>
    <t>PM2.5</t>
  </si>
  <si>
    <t>Emissions</t>
  </si>
  <si>
    <t>m2/km</t>
  </si>
  <si>
    <t>Area affected</t>
  </si>
  <si>
    <t>s</t>
  </si>
  <si>
    <t>PE</t>
  </si>
  <si>
    <t>CE</t>
  </si>
  <si>
    <t>d</t>
  </si>
  <si>
    <t>Estimation parameters</t>
  </si>
  <si>
    <t>kg/m2/year</t>
  </si>
  <si>
    <t>Efs</t>
  </si>
  <si>
    <t>* local roads not included</t>
  </si>
  <si>
    <t>Increase km*</t>
  </si>
  <si>
    <t>Road network CZ  km</t>
  </si>
  <si>
    <t>Source: ERF statistics</t>
  </si>
  <si>
    <t>Road Network</t>
  </si>
  <si>
    <t>calc</t>
  </si>
  <si>
    <t>EIG</t>
  </si>
  <si>
    <t>Activity data 2000 - 1999; from 2000</t>
  </si>
  <si>
    <t>Comments</t>
  </si>
  <si>
    <t>kg/m2</t>
  </si>
  <si>
    <t>kt/km</t>
  </si>
  <si>
    <t>EF kt/km</t>
  </si>
  <si>
    <t>app. 112,5 % od AEIG Efs</t>
  </si>
  <si>
    <t>estimate Efs 1990-97</t>
  </si>
  <si>
    <t>Highway - added calculation</t>
  </si>
  <si>
    <t>ATEM* (AEIG and yerly parameters)</t>
  </si>
  <si>
    <t>* expert study (project ARAMIS)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</si>
</sst>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00"/>
    <numFmt numFmtId="166" formatCode="0.00000"/>
    <numFmt numFmtId="167" formatCode="0.0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6.5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rgb="FF7030A0"/>
      <name val="Calibri"/>
      <family val="2"/>
      <charset val="238"/>
      <scheme val="minor"/>
    </font>
    <font>
      <b/>
      <sz val="9"/>
      <color rgb="FF7030A0"/>
      <name val="Arial"/>
      <family val="2"/>
    </font>
    <font>
      <sz val="10"/>
      <color rgb="FF7030A0"/>
      <name val="Arial"/>
      <family val="2"/>
    </font>
    <font>
      <sz val="10"/>
      <color rgb="FF7030A0"/>
      <name val="Arial"/>
      <family val="2"/>
      <charset val="238"/>
    </font>
    <font>
      <sz val="10"/>
      <color rgb="FF7030A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6.5"/>
      <color rgb="FFFF0000"/>
      <name val="Times New Roman"/>
      <family val="1"/>
      <charset val="238"/>
    </font>
    <font>
      <b/>
      <sz val="11"/>
      <color rgb="FF7030A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4"/>
      <color rgb="FF7030A0"/>
      <name val="Calibri"/>
      <family val="2"/>
      <charset val="238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AEC9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6">
    <xf numFmtId="0" fontId="0" fillId="0" borderId="0"/>
    <xf numFmtId="0" fontId="5" fillId="0" borderId="0"/>
    <xf numFmtId="0" fontId="7" fillId="0" borderId="0"/>
    <xf numFmtId="0" fontId="14" fillId="0" borderId="0" applyNumberFormat="0" applyFill="0" applyBorder="0" applyAlignment="0" applyProtection="0"/>
    <xf numFmtId="0" fontId="20" fillId="0" borderId="0"/>
    <xf numFmtId="0" fontId="26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left" vertical="center" wrapText="1"/>
    </xf>
    <xf numFmtId="1" fontId="5" fillId="0" borderId="0" xfId="2" applyNumberFormat="1" applyFont="1" applyAlignment="1">
      <alignment horizontal="center"/>
    </xf>
    <xf numFmtId="49" fontId="5" fillId="0" borderId="0" xfId="2" applyNumberFormat="1" applyFont="1"/>
    <xf numFmtId="1" fontId="8" fillId="0" borderId="0" xfId="2" applyNumberFormat="1" applyFont="1" applyAlignment="1">
      <alignment horizontal="center"/>
    </xf>
    <xf numFmtId="49" fontId="8" fillId="0" borderId="0" xfId="2" applyNumberFormat="1" applyFont="1"/>
    <xf numFmtId="0" fontId="1" fillId="0" borderId="0" xfId="0" applyFont="1"/>
    <xf numFmtId="0" fontId="9" fillId="0" borderId="0" xfId="0" applyFont="1"/>
    <xf numFmtId="2" fontId="10" fillId="2" borderId="0" xfId="1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wrapText="1"/>
    </xf>
    <xf numFmtId="1" fontId="11" fillId="0" borderId="0" xfId="2" applyNumberFormat="1" applyFont="1" applyAlignment="1">
      <alignment horizontal="center"/>
    </xf>
    <xf numFmtId="2" fontId="12" fillId="0" borderId="0" xfId="2" applyNumberFormat="1" applyFont="1" applyFill="1"/>
    <xf numFmtId="0" fontId="13" fillId="0" borderId="3" xfId="0" applyFont="1" applyBorder="1" applyAlignment="1">
      <alignment horizontal="center" vertical="center" wrapText="1"/>
    </xf>
    <xf numFmtId="0" fontId="1" fillId="3" borderId="0" xfId="0" applyFont="1" applyFill="1"/>
    <xf numFmtId="0" fontId="5" fillId="0" borderId="0" xfId="1" applyNumberFormat="1" applyFont="1" applyAlignment="1" applyProtection="1">
      <alignment vertical="center"/>
    </xf>
    <xf numFmtId="0" fontId="5" fillId="4" borderId="0" xfId="1" applyNumberFormat="1" applyFont="1" applyFill="1" applyAlignment="1" applyProtection="1">
      <alignment horizontal="left" vertical="center"/>
      <protection locked="0"/>
    </xf>
    <xf numFmtId="0" fontId="14" fillId="0" borderId="0" xfId="3"/>
    <xf numFmtId="14" fontId="5" fillId="4" borderId="0" xfId="1" applyNumberFormat="1" applyFont="1" applyFill="1" applyAlignment="1" applyProtection="1">
      <alignment horizontal="left" vertical="center"/>
      <protection locked="0"/>
    </xf>
    <xf numFmtId="0" fontId="13" fillId="0" borderId="6" xfId="0" applyFont="1" applyBorder="1" applyAlignment="1">
      <alignment horizontal="center" vertical="center" wrapText="1"/>
    </xf>
    <xf numFmtId="1" fontId="7" fillId="0" borderId="0" xfId="2" applyNumberFormat="1" applyFont="1" applyAlignment="1">
      <alignment horizontal="center"/>
    </xf>
    <xf numFmtId="49" fontId="7" fillId="0" borderId="0" xfId="2" applyNumberFormat="1" applyFont="1"/>
    <xf numFmtId="164" fontId="4" fillId="0" borderId="6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2" fontId="6" fillId="2" borderId="2" xfId="1" applyNumberFormat="1" applyFont="1" applyFill="1" applyBorder="1" applyAlignment="1" applyProtection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2" fontId="6" fillId="2" borderId="4" xfId="1" applyNumberFormat="1" applyFont="1" applyFill="1" applyBorder="1" applyAlignment="1" applyProtection="1">
      <alignment horizontal="center" vertical="center" wrapText="1"/>
    </xf>
    <xf numFmtId="2" fontId="1" fillId="0" borderId="7" xfId="0" applyNumberFormat="1" applyFont="1" applyBorder="1" applyAlignment="1">
      <alignment horizontal="center"/>
    </xf>
    <xf numFmtId="165" fontId="1" fillId="3" borderId="0" xfId="0" applyNumberFormat="1" applyFont="1" applyFill="1"/>
    <xf numFmtId="164" fontId="1" fillId="3" borderId="0" xfId="0" applyNumberFormat="1" applyFont="1" applyFill="1"/>
    <xf numFmtId="165" fontId="0" fillId="0" borderId="0" xfId="0" applyNumberFormat="1"/>
    <xf numFmtId="164" fontId="0" fillId="0" borderId="0" xfId="0" applyNumberFormat="1"/>
    <xf numFmtId="167" fontId="0" fillId="0" borderId="0" xfId="0" applyNumberFormat="1"/>
    <xf numFmtId="0" fontId="20" fillId="0" borderId="0" xfId="4"/>
    <xf numFmtId="0" fontId="21" fillId="0" borderId="0" xfId="4" applyFont="1"/>
    <xf numFmtId="164" fontId="22" fillId="0" borderId="0" xfId="4" applyNumberFormat="1" applyFont="1"/>
    <xf numFmtId="0" fontId="23" fillId="0" borderId="0" xfId="4" applyFont="1"/>
    <xf numFmtId="0" fontId="24" fillId="0" borderId="0" xfId="4" applyFont="1"/>
    <xf numFmtId="9" fontId="24" fillId="0" borderId="0" xfId="4" applyNumberFormat="1" applyFont="1"/>
    <xf numFmtId="0" fontId="25" fillId="0" borderId="0" xfId="4" applyFont="1"/>
    <xf numFmtId="167" fontId="20" fillId="0" borderId="0" xfId="4" applyNumberFormat="1"/>
    <xf numFmtId="0" fontId="20" fillId="0" borderId="0" xfId="4" applyFill="1"/>
    <xf numFmtId="0" fontId="26" fillId="0" borderId="0" xfId="5" applyFill="1"/>
    <xf numFmtId="0" fontId="1" fillId="5" borderId="0" xfId="0" applyFont="1" applyFill="1"/>
    <xf numFmtId="166" fontId="0" fillId="0" borderId="0" xfId="0" applyNumberFormat="1"/>
    <xf numFmtId="0" fontId="14" fillId="0" borderId="0" xfId="3" applyAlignment="1">
      <alignment horizontal="center"/>
    </xf>
    <xf numFmtId="164" fontId="13" fillId="0" borderId="6" xfId="0" applyNumberFormat="1" applyFont="1" applyBorder="1" applyAlignment="1">
      <alignment horizontal="center" vertical="center" wrapText="1"/>
    </xf>
    <xf numFmtId="0" fontId="0" fillId="0" borderId="0" xfId="0" applyFont="1"/>
    <xf numFmtId="0" fontId="18" fillId="0" borderId="0" xfId="0" applyFont="1" applyBorder="1" applyAlignment="1">
      <alignment horizontal="center"/>
    </xf>
    <xf numFmtId="2" fontId="28" fillId="2" borderId="0" xfId="1" applyNumberFormat="1" applyFont="1" applyFill="1" applyBorder="1" applyAlignment="1" applyProtection="1">
      <alignment horizontal="center" vertical="center" wrapText="1"/>
    </xf>
    <xf numFmtId="49" fontId="29" fillId="0" borderId="0" xfId="2" applyNumberFormat="1" applyFont="1"/>
    <xf numFmtId="0" fontId="18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7" fillId="0" borderId="0" xfId="0" applyFont="1" applyAlignment="1">
      <alignment horizontal="center"/>
    </xf>
    <xf numFmtId="164" fontId="0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0" fillId="6" borderId="0" xfId="4" applyFill="1"/>
    <xf numFmtId="0" fontId="31" fillId="3" borderId="0" xfId="0" applyFont="1" applyFill="1"/>
    <xf numFmtId="0" fontId="30" fillId="0" borderId="0" xfId="0" applyFont="1"/>
  </cellXfs>
  <cellStyles count="6">
    <cellStyle name="Hypertextový odkaz" xfId="3" builtinId="8"/>
    <cellStyle name="Hypertextový odkaz 2" xfId="5"/>
    <cellStyle name="Normální" xfId="0" builtinId="0"/>
    <cellStyle name="Normální 2" xfId="2"/>
    <cellStyle name="Normální 3" xfId="4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s.wikipedia.org/wiki/D%C3%A1lnice_v_%C4%8Cesku" TargetMode="External"/><Relationship Id="rId1" Type="http://schemas.openxmlformats.org/officeDocument/2006/relationships/hyperlink" Target="https://rsd.cz/web/guest/mapa-staveb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ydos.cz/cs/rocenky.htm" TargetMode="External"/><Relationship Id="rId1" Type="http://schemas.openxmlformats.org/officeDocument/2006/relationships/hyperlink" Target="https://www.sydos.cz/cs/rocenka-2005/rocenka/htm_cz/cz05_3210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tabSelected="1" zoomScale="70" zoomScaleNormal="70" workbookViewId="0">
      <pane xSplit="6" ySplit="5" topLeftCell="G6" activePane="bottomRight" state="frozen"/>
      <selection pane="topRight" activeCell="B1" sqref="B1"/>
      <selection pane="bottomLeft" activeCell="A2" sqref="A2"/>
      <selection pane="bottomRight" activeCell="G4" sqref="G4:J4"/>
    </sheetView>
  </sheetViews>
  <sheetFormatPr defaultRowHeight="14.4" x14ac:dyDescent="0.3"/>
  <cols>
    <col min="1" max="1" width="14.21875" customWidth="1"/>
    <col min="2" max="2" width="10.33203125" customWidth="1"/>
    <col min="3" max="5" width="11.5546875" customWidth="1"/>
    <col min="6" max="6" width="9.21875" customWidth="1"/>
    <col min="7" max="7" width="20.5546875" customWidth="1"/>
    <col min="8" max="8" width="9.44140625" bestFit="1" customWidth="1"/>
    <col min="9" max="9" width="10.44140625" bestFit="1" customWidth="1"/>
    <col min="11" max="11" width="16.21875" customWidth="1"/>
    <col min="12" max="14" width="13" customWidth="1"/>
    <col min="18" max="18" width="17.77734375" style="51" customWidth="1"/>
    <col min="19" max="19" width="15.5546875" customWidth="1"/>
    <col min="22" max="22" width="10.44140625" customWidth="1"/>
  </cols>
  <sheetData>
    <row r="1" spans="1:25" ht="18" x14ac:dyDescent="0.35">
      <c r="A1" s="18" t="s">
        <v>12</v>
      </c>
      <c r="B1" s="17"/>
      <c r="K1" s="18" t="s">
        <v>12</v>
      </c>
      <c r="S1" s="61" t="s">
        <v>47</v>
      </c>
      <c r="T1" s="61"/>
      <c r="U1" s="61"/>
      <c r="V1" s="61"/>
      <c r="W1" s="61"/>
      <c r="X1" s="61"/>
      <c r="Y1" s="61"/>
    </row>
    <row r="2" spans="1:25" x14ac:dyDescent="0.3">
      <c r="A2" s="20">
        <v>45189</v>
      </c>
      <c r="B2" s="17"/>
      <c r="K2" s="20">
        <v>45365</v>
      </c>
    </row>
    <row r="3" spans="1:25" ht="15" thickBot="1" x14ac:dyDescent="0.35">
      <c r="A3" s="18" t="s">
        <v>16</v>
      </c>
      <c r="B3" s="17"/>
      <c r="K3" s="18" t="s">
        <v>17</v>
      </c>
    </row>
    <row r="4" spans="1:25" ht="18.600000000000001" thickBot="1" x14ac:dyDescent="0.4">
      <c r="A4" s="18" t="s">
        <v>13</v>
      </c>
      <c r="B4" s="17"/>
      <c r="C4" s="55" t="s">
        <v>26</v>
      </c>
      <c r="D4" s="56"/>
      <c r="E4" s="57"/>
      <c r="G4" s="55" t="s">
        <v>54</v>
      </c>
      <c r="H4" s="56"/>
      <c r="I4" s="56"/>
      <c r="J4" s="57"/>
      <c r="K4" s="18" t="s">
        <v>15</v>
      </c>
      <c r="L4" s="58" t="s">
        <v>27</v>
      </c>
      <c r="M4" s="59"/>
      <c r="N4" s="60"/>
      <c r="O4" s="58" t="s">
        <v>39</v>
      </c>
      <c r="P4" s="59"/>
      <c r="Q4" s="60"/>
      <c r="R4" s="52"/>
      <c r="S4" s="49" t="s">
        <v>23</v>
      </c>
      <c r="T4" s="63" t="s">
        <v>24</v>
      </c>
      <c r="U4" s="63"/>
      <c r="V4" s="63"/>
      <c r="W4" s="63"/>
      <c r="X4" s="63"/>
      <c r="Y4" s="63"/>
    </row>
    <row r="5" spans="1:25" ht="43.8" thickBot="1" x14ac:dyDescent="0.35">
      <c r="A5" s="26" t="s">
        <v>14</v>
      </c>
      <c r="B5" s="4" t="s">
        <v>2</v>
      </c>
      <c r="C5" s="28" t="s">
        <v>10</v>
      </c>
      <c r="D5" s="28" t="s">
        <v>11</v>
      </c>
      <c r="E5" s="28" t="s">
        <v>20</v>
      </c>
      <c r="F5" s="26" t="s">
        <v>14</v>
      </c>
      <c r="G5" s="29" t="s">
        <v>25</v>
      </c>
      <c r="H5" s="29" t="s">
        <v>1</v>
      </c>
      <c r="I5" s="29" t="s">
        <v>0</v>
      </c>
      <c r="J5" s="30" t="s">
        <v>20</v>
      </c>
      <c r="K5" s="1" t="s">
        <v>14</v>
      </c>
      <c r="L5" s="27" t="s">
        <v>18</v>
      </c>
      <c r="M5" s="27" t="s">
        <v>19</v>
      </c>
      <c r="N5" s="27" t="s">
        <v>21</v>
      </c>
      <c r="O5" s="29" t="s">
        <v>1</v>
      </c>
      <c r="P5" s="29" t="s">
        <v>0</v>
      </c>
      <c r="Q5" s="30" t="s">
        <v>20</v>
      </c>
      <c r="R5" s="53" t="s">
        <v>48</v>
      </c>
      <c r="S5" s="10"/>
      <c r="T5" s="11" t="s">
        <v>8</v>
      </c>
      <c r="U5" s="12" t="s">
        <v>4</v>
      </c>
      <c r="V5" s="12" t="s">
        <v>5</v>
      </c>
      <c r="W5" s="12" t="s">
        <v>6</v>
      </c>
      <c r="X5" s="12" t="s">
        <v>7</v>
      </c>
      <c r="Y5" s="12" t="s">
        <v>9</v>
      </c>
    </row>
    <row r="6" spans="1:25" ht="15" thickBot="1" x14ac:dyDescent="0.35">
      <c r="A6" s="5">
        <v>1990</v>
      </c>
      <c r="B6" s="6" t="s">
        <v>3</v>
      </c>
      <c r="C6" s="24">
        <v>7.3175097355725902E-2</v>
      </c>
      <c r="D6" s="24">
        <v>0.73222761810209636</v>
      </c>
      <c r="E6" s="24">
        <v>1.4645127121416981</v>
      </c>
      <c r="F6" s="2">
        <v>1990</v>
      </c>
      <c r="G6" s="21">
        <f>SUM(T6:Y6)</f>
        <v>4.2600000000000007</v>
      </c>
      <c r="H6" s="24">
        <f t="shared" ref="H6:J13" si="0">+$G6*H$44</f>
        <v>8.8202643171806181E-3</v>
      </c>
      <c r="I6" s="24">
        <f t="shared" si="0"/>
        <v>8.8765638766519828E-2</v>
      </c>
      <c r="J6" s="24">
        <f t="shared" si="0"/>
        <v>0.29744933920704852</v>
      </c>
      <c r="K6" s="5">
        <v>1990</v>
      </c>
      <c r="L6" s="31">
        <f t="shared" ref="L6:L37" si="1">+H6+C6</f>
        <v>8.1995361672906525E-2</v>
      </c>
      <c r="M6" s="31">
        <f t="shared" ref="M6:M37" si="2">+I6+D6</f>
        <v>0.82099325686861624</v>
      </c>
      <c r="N6" s="31">
        <f t="shared" ref="N6:N37" si="3">+J6+E6</f>
        <v>1.7619620513487466</v>
      </c>
      <c r="O6" s="48">
        <f t="shared" ref="O6:O17" si="4">+H6/$G6</f>
        <v>2.0704845814977974E-3</v>
      </c>
      <c r="P6" s="34">
        <f t="shared" ref="P6:Q6" si="5">+I6/$G6</f>
        <v>2.0837004405286342E-2</v>
      </c>
      <c r="Q6" s="35">
        <f t="shared" si="5"/>
        <v>6.9823788546255511E-2</v>
      </c>
      <c r="R6" s="62" t="s">
        <v>52</v>
      </c>
      <c r="S6" s="13">
        <v>1990</v>
      </c>
      <c r="T6" s="10"/>
      <c r="U6" s="10"/>
      <c r="V6" s="10"/>
      <c r="W6" s="10"/>
      <c r="X6" s="10"/>
      <c r="Y6" s="10">
        <f>1.2+(8.6+6.7)*0.2</f>
        <v>4.2600000000000007</v>
      </c>
    </row>
    <row r="7" spans="1:25" ht="15" thickBot="1" x14ac:dyDescent="0.35">
      <c r="A7" s="5">
        <v>1991</v>
      </c>
      <c r="B7" s="6" t="s">
        <v>3</v>
      </c>
      <c r="C7" s="24">
        <v>6.7631998571690805E-2</v>
      </c>
      <c r="D7" s="24">
        <v>0.67676052388276708</v>
      </c>
      <c r="E7" s="24">
        <v>1.3535741698338843</v>
      </c>
      <c r="F7" s="2">
        <v>1991</v>
      </c>
      <c r="G7" s="21">
        <f t="shared" ref="G7:G13" si="6">SUM(T7:Y7)</f>
        <v>6.05</v>
      </c>
      <c r="H7" s="24">
        <f t="shared" si="0"/>
        <v>1.2526431718061674E-2</v>
      </c>
      <c r="I7" s="24">
        <f t="shared" si="0"/>
        <v>0.12606387665198238</v>
      </c>
      <c r="J7" s="24">
        <f t="shared" si="0"/>
        <v>0.42243392070484581</v>
      </c>
      <c r="K7" s="5">
        <v>1991</v>
      </c>
      <c r="L7" s="31">
        <f t="shared" si="1"/>
        <v>8.0158430289752475E-2</v>
      </c>
      <c r="M7" s="31">
        <f t="shared" si="2"/>
        <v>0.80282440053474946</v>
      </c>
      <c r="N7" s="31">
        <f t="shared" si="3"/>
        <v>1.7760080905387301</v>
      </c>
      <c r="O7" s="48">
        <f t="shared" si="4"/>
        <v>2.0704845814977974E-3</v>
      </c>
      <c r="P7" s="34">
        <f t="shared" ref="P7:P17" si="7">+I7/$G7</f>
        <v>2.0837004405286345E-2</v>
      </c>
      <c r="Q7" s="35">
        <f t="shared" ref="Q7:Q17" si="8">+J7/$G7</f>
        <v>6.9823788546255511E-2</v>
      </c>
      <c r="R7" s="62"/>
      <c r="S7" s="13">
        <v>1991</v>
      </c>
      <c r="T7" s="10"/>
      <c r="U7" s="10"/>
      <c r="V7" s="10"/>
      <c r="W7" s="10"/>
      <c r="X7" s="10">
        <v>6.05</v>
      </c>
      <c r="Y7" s="10"/>
    </row>
    <row r="8" spans="1:25" ht="15" thickBot="1" x14ac:dyDescent="0.35">
      <c r="A8" s="5">
        <v>1992</v>
      </c>
      <c r="B8" s="6" t="s">
        <v>3</v>
      </c>
      <c r="C8" s="24">
        <v>7.2044800676299758E-2</v>
      </c>
      <c r="D8" s="24">
        <v>0.72091728883390915</v>
      </c>
      <c r="E8" s="24">
        <v>1.4418911658051885</v>
      </c>
      <c r="F8" s="2">
        <v>1992</v>
      </c>
      <c r="G8" s="21">
        <f t="shared" si="6"/>
        <v>9.6760000000000002</v>
      </c>
      <c r="H8" s="24">
        <f t="shared" si="0"/>
        <v>2.0034008810572688E-2</v>
      </c>
      <c r="I8" s="24">
        <f t="shared" si="0"/>
        <v>0.20161885462555065</v>
      </c>
      <c r="J8" s="24">
        <f t="shared" si="0"/>
        <v>0.67561497797356829</v>
      </c>
      <c r="K8" s="5">
        <v>1992</v>
      </c>
      <c r="L8" s="31">
        <f t="shared" si="1"/>
        <v>9.2078809486872443E-2</v>
      </c>
      <c r="M8" s="31">
        <f t="shared" si="2"/>
        <v>0.92253614345945978</v>
      </c>
      <c r="N8" s="31">
        <f t="shared" si="3"/>
        <v>2.1175061437787566</v>
      </c>
      <c r="O8" s="48">
        <f t="shared" si="4"/>
        <v>2.0704845814977974E-3</v>
      </c>
      <c r="P8" s="34">
        <f t="shared" si="7"/>
        <v>2.0837004405286342E-2</v>
      </c>
      <c r="Q8" s="35">
        <f t="shared" si="8"/>
        <v>6.9823788546255511E-2</v>
      </c>
      <c r="R8" s="62"/>
      <c r="S8" s="13">
        <v>1992</v>
      </c>
      <c r="T8" s="14">
        <v>9.6760000000000002</v>
      </c>
      <c r="U8" s="10"/>
      <c r="V8" s="10"/>
      <c r="W8" s="10"/>
      <c r="X8" s="10"/>
      <c r="Y8" s="10"/>
    </row>
    <row r="9" spans="1:25" ht="15" thickBot="1" x14ac:dyDescent="0.35">
      <c r="A9" s="5">
        <v>1993</v>
      </c>
      <c r="B9" s="6" t="s">
        <v>3</v>
      </c>
      <c r="C9" s="24">
        <v>6.3823053597186249E-2</v>
      </c>
      <c r="D9" s="24">
        <v>0.63864626360914978</v>
      </c>
      <c r="E9" s="24">
        <v>1.2773426575218112</v>
      </c>
      <c r="F9" s="2">
        <v>1993</v>
      </c>
      <c r="G9" s="21">
        <f t="shared" si="6"/>
        <v>17.798000000000002</v>
      </c>
      <c r="H9" s="24">
        <f t="shared" si="0"/>
        <v>3.6850484581497804E-2</v>
      </c>
      <c r="I9" s="24">
        <f t="shared" si="0"/>
        <v>0.37085700440528635</v>
      </c>
      <c r="J9" s="24">
        <f t="shared" si="0"/>
        <v>1.2427237885462556</v>
      </c>
      <c r="K9" s="5">
        <v>1993</v>
      </c>
      <c r="L9" s="31">
        <f t="shared" si="1"/>
        <v>0.10067353817868405</v>
      </c>
      <c r="M9" s="31">
        <f t="shared" si="2"/>
        <v>1.009503268014436</v>
      </c>
      <c r="N9" s="31">
        <f t="shared" si="3"/>
        <v>2.5200664460680668</v>
      </c>
      <c r="O9" s="48">
        <f t="shared" si="4"/>
        <v>2.0704845814977974E-3</v>
      </c>
      <c r="P9" s="34">
        <f t="shared" si="7"/>
        <v>2.0837004405286342E-2</v>
      </c>
      <c r="Q9" s="35">
        <f t="shared" si="8"/>
        <v>6.9823788546255511E-2</v>
      </c>
      <c r="R9" s="62"/>
      <c r="S9" s="13">
        <v>1993</v>
      </c>
      <c r="T9" s="10"/>
      <c r="U9" s="10"/>
      <c r="V9" s="10"/>
      <c r="W9" s="10">
        <v>8.1980000000000004</v>
      </c>
      <c r="X9" s="10">
        <v>9.6</v>
      </c>
      <c r="Y9" s="10"/>
    </row>
    <row r="10" spans="1:25" ht="15" thickBot="1" x14ac:dyDescent="0.35">
      <c r="A10" s="5">
        <v>1994</v>
      </c>
      <c r="B10" s="6" t="s">
        <v>3</v>
      </c>
      <c r="C10" s="24">
        <v>6.4008855791064523E-2</v>
      </c>
      <c r="D10" s="24">
        <v>0.64050549581761895</v>
      </c>
      <c r="E10" s="24">
        <v>1.2810612678784978</v>
      </c>
      <c r="F10" s="2">
        <v>1994</v>
      </c>
      <c r="G10" s="21">
        <f t="shared" si="6"/>
        <v>5.9749999999999996</v>
      </c>
      <c r="H10" s="24">
        <f t="shared" si="0"/>
        <v>1.237114537444934E-2</v>
      </c>
      <c r="I10" s="24">
        <f t="shared" si="0"/>
        <v>0.12450110132158589</v>
      </c>
      <c r="J10" s="24">
        <f t="shared" si="0"/>
        <v>0.41719713656387664</v>
      </c>
      <c r="K10" s="5">
        <v>1994</v>
      </c>
      <c r="L10" s="31">
        <f t="shared" si="1"/>
        <v>7.6380001165513856E-2</v>
      </c>
      <c r="M10" s="31">
        <f t="shared" si="2"/>
        <v>0.76500659713920482</v>
      </c>
      <c r="N10" s="31">
        <f t="shared" si="3"/>
        <v>1.6982584044423745</v>
      </c>
      <c r="O10" s="48">
        <f t="shared" si="4"/>
        <v>2.0704845814977974E-3</v>
      </c>
      <c r="P10" s="34">
        <f t="shared" si="7"/>
        <v>2.0837004405286342E-2</v>
      </c>
      <c r="Q10" s="35">
        <f t="shared" si="8"/>
        <v>6.9823788546255511E-2</v>
      </c>
      <c r="R10" s="62"/>
      <c r="S10" s="13">
        <v>1994</v>
      </c>
      <c r="T10" s="10"/>
      <c r="U10" s="10"/>
      <c r="V10" s="10"/>
      <c r="W10" s="10">
        <v>5.9749999999999996</v>
      </c>
      <c r="X10" s="10"/>
      <c r="Y10" s="10"/>
    </row>
    <row r="11" spans="1:25" ht="15" thickBot="1" x14ac:dyDescent="0.35">
      <c r="A11" s="5">
        <v>1995</v>
      </c>
      <c r="B11" s="6" t="s">
        <v>3</v>
      </c>
      <c r="C11" s="24">
        <v>5.7908350425394599E-2</v>
      </c>
      <c r="D11" s="24">
        <v>0.57946070497288216</v>
      </c>
      <c r="E11" s="24">
        <v>1.1589668945006244</v>
      </c>
      <c r="F11" s="2">
        <v>1995</v>
      </c>
      <c r="G11" s="21">
        <f t="shared" si="6"/>
        <v>27.132999999999999</v>
      </c>
      <c r="H11" s="24">
        <f t="shared" si="0"/>
        <v>5.6178458149779738E-2</v>
      </c>
      <c r="I11" s="24">
        <f t="shared" si="0"/>
        <v>0.56537044052863428</v>
      </c>
      <c r="J11" s="24">
        <f t="shared" si="0"/>
        <v>1.8945288546255508</v>
      </c>
      <c r="K11" s="5">
        <v>1995</v>
      </c>
      <c r="L11" s="31">
        <f t="shared" si="1"/>
        <v>0.11408680857517434</v>
      </c>
      <c r="M11" s="31">
        <f t="shared" si="2"/>
        <v>1.1448311455015165</v>
      </c>
      <c r="N11" s="31">
        <f t="shared" si="3"/>
        <v>3.0534957491261752</v>
      </c>
      <c r="O11" s="48">
        <f t="shared" si="4"/>
        <v>2.0704845814977974E-3</v>
      </c>
      <c r="P11" s="34">
        <f t="shared" si="7"/>
        <v>2.0837004405286342E-2</v>
      </c>
      <c r="Q11" s="35">
        <f t="shared" si="8"/>
        <v>6.9823788546255511E-2</v>
      </c>
      <c r="R11" s="62"/>
      <c r="S11" s="13">
        <v>1995</v>
      </c>
      <c r="T11" s="10"/>
      <c r="U11" s="10"/>
      <c r="V11" s="10">
        <v>15</v>
      </c>
      <c r="W11" s="10">
        <f>8.423+3.71</f>
        <v>12.132999999999999</v>
      </c>
      <c r="X11" s="10"/>
      <c r="Y11" s="10"/>
    </row>
    <row r="12" spans="1:25" ht="15" thickBot="1" x14ac:dyDescent="0.35">
      <c r="A12" s="5">
        <v>1996</v>
      </c>
      <c r="B12" s="6" t="s">
        <v>3</v>
      </c>
      <c r="C12" s="24">
        <v>6.0912152559759986E-2</v>
      </c>
      <c r="D12" s="24">
        <v>0.60951829234313326</v>
      </c>
      <c r="E12" s="24">
        <v>1.2190844286003895</v>
      </c>
      <c r="F12" s="2">
        <v>1996</v>
      </c>
      <c r="G12" s="21">
        <f t="shared" si="6"/>
        <v>33.9</v>
      </c>
      <c r="H12" s="24">
        <f t="shared" si="0"/>
        <v>7.0189427312775332E-2</v>
      </c>
      <c r="I12" s="24">
        <f t="shared" si="0"/>
        <v>0.70637444933920701</v>
      </c>
      <c r="J12" s="24">
        <f t="shared" si="0"/>
        <v>2.3670264317180618</v>
      </c>
      <c r="K12" s="5">
        <v>1996</v>
      </c>
      <c r="L12" s="31">
        <f t="shared" si="1"/>
        <v>0.13110157987253532</v>
      </c>
      <c r="M12" s="31">
        <f t="shared" si="2"/>
        <v>1.3158927416823403</v>
      </c>
      <c r="N12" s="31">
        <f t="shared" si="3"/>
        <v>3.5861108603184513</v>
      </c>
      <c r="O12" s="48">
        <f t="shared" si="4"/>
        <v>2.0704845814977974E-3</v>
      </c>
      <c r="P12" s="34">
        <f t="shared" si="7"/>
        <v>2.0837004405286342E-2</v>
      </c>
      <c r="Q12" s="35">
        <f t="shared" si="8"/>
        <v>6.9823788546255511E-2</v>
      </c>
      <c r="R12" s="62"/>
      <c r="S12" s="13">
        <v>1996</v>
      </c>
      <c r="T12" s="10"/>
      <c r="U12" s="10">
        <v>5</v>
      </c>
      <c r="V12" s="10">
        <v>20</v>
      </c>
      <c r="W12" s="10"/>
      <c r="X12" s="10">
        <f>3.6+5.3</f>
        <v>8.9</v>
      </c>
      <c r="Y12" s="10"/>
    </row>
    <row r="13" spans="1:25" ht="15" thickBot="1" x14ac:dyDescent="0.35">
      <c r="A13" s="5">
        <v>1997</v>
      </c>
      <c r="B13" s="6" t="s">
        <v>3</v>
      </c>
      <c r="C13" s="24">
        <v>5.9286383363325111E-2</v>
      </c>
      <c r="D13" s="24">
        <v>0.59325001051902826</v>
      </c>
      <c r="E13" s="24">
        <v>1.1865465879793826</v>
      </c>
      <c r="F13" s="2">
        <v>1997</v>
      </c>
      <c r="G13" s="21">
        <f t="shared" si="6"/>
        <v>32.5</v>
      </c>
      <c r="H13" s="24">
        <f t="shared" si="0"/>
        <v>6.7290748898678421E-2</v>
      </c>
      <c r="I13" s="24">
        <f t="shared" si="0"/>
        <v>0.67720264317180612</v>
      </c>
      <c r="J13" s="24">
        <f t="shared" si="0"/>
        <v>2.269273127753304</v>
      </c>
      <c r="K13" s="5">
        <v>1997</v>
      </c>
      <c r="L13" s="31">
        <f t="shared" si="1"/>
        <v>0.12657713226200354</v>
      </c>
      <c r="M13" s="31">
        <f t="shared" si="2"/>
        <v>1.2704526536908345</v>
      </c>
      <c r="N13" s="31">
        <f t="shared" si="3"/>
        <v>3.4558197157326864</v>
      </c>
      <c r="O13" s="48">
        <f t="shared" si="4"/>
        <v>2.0704845814977974E-3</v>
      </c>
      <c r="P13" s="34">
        <f t="shared" si="7"/>
        <v>2.0837004405286342E-2</v>
      </c>
      <c r="Q13" s="35">
        <f t="shared" si="8"/>
        <v>6.9823788546255511E-2</v>
      </c>
      <c r="R13" s="62"/>
      <c r="S13" s="13">
        <v>1997</v>
      </c>
      <c r="T13" s="10"/>
      <c r="U13" s="10">
        <v>4.5</v>
      </c>
      <c r="V13" s="12">
        <f>63-V12-V11</f>
        <v>28</v>
      </c>
      <c r="W13" s="10"/>
      <c r="X13" s="10"/>
      <c r="Y13" s="10"/>
    </row>
    <row r="14" spans="1:25" ht="15" thickBot="1" x14ac:dyDescent="0.35">
      <c r="A14" s="5">
        <v>1998</v>
      </c>
      <c r="B14" s="6" t="s">
        <v>3</v>
      </c>
      <c r="C14" s="24">
        <v>5.8187053716212009E-2</v>
      </c>
      <c r="D14" s="24">
        <v>0.58224955328558592</v>
      </c>
      <c r="E14" s="24">
        <v>1.1645448100356544</v>
      </c>
      <c r="F14" s="2">
        <v>1998</v>
      </c>
      <c r="G14" s="21">
        <f>16+U14</f>
        <v>22.7</v>
      </c>
      <c r="H14" s="50">
        <f>0.046/16*G14</f>
        <v>6.5262500000000001E-2</v>
      </c>
      <c r="I14" s="50">
        <f>0.457/16*G14</f>
        <v>0.64836875000000005</v>
      </c>
      <c r="J14" s="50">
        <f>1.528/16*G14</f>
        <v>2.1678500000000001</v>
      </c>
      <c r="K14" s="5">
        <v>1998</v>
      </c>
      <c r="L14" s="31">
        <f t="shared" si="1"/>
        <v>0.12344955371621201</v>
      </c>
      <c r="M14" s="31">
        <f t="shared" si="2"/>
        <v>1.230618303285586</v>
      </c>
      <c r="N14" s="31">
        <f t="shared" si="3"/>
        <v>3.3323948100356544</v>
      </c>
      <c r="O14" s="48">
        <f t="shared" si="4"/>
        <v>2.875E-3</v>
      </c>
      <c r="P14" s="34">
        <f t="shared" si="7"/>
        <v>2.8562500000000005E-2</v>
      </c>
      <c r="Q14" s="35">
        <f t="shared" si="8"/>
        <v>9.5500000000000002E-2</v>
      </c>
      <c r="R14" s="62" t="s">
        <v>55</v>
      </c>
      <c r="S14" s="13">
        <v>1998</v>
      </c>
      <c r="T14" s="10"/>
      <c r="U14" s="10">
        <v>6.7</v>
      </c>
      <c r="V14" s="10"/>
      <c r="W14" s="10"/>
      <c r="X14" s="10"/>
      <c r="Y14" s="10"/>
    </row>
    <row r="15" spans="1:25" ht="15" thickBot="1" x14ac:dyDescent="0.35">
      <c r="A15" s="5">
        <v>1999</v>
      </c>
      <c r="B15" s="6" t="s">
        <v>3</v>
      </c>
      <c r="C15" s="24">
        <v>5.4920031807185736E-2</v>
      </c>
      <c r="D15" s="25">
        <v>0.54955805362000354</v>
      </c>
      <c r="E15" s="25">
        <v>1.0991592445972502</v>
      </c>
      <c r="F15" s="2">
        <v>1999</v>
      </c>
      <c r="G15" s="15">
        <f>16+U15</f>
        <v>19</v>
      </c>
      <c r="H15" s="50">
        <f>0.047/16*G15</f>
        <v>5.5812500000000001E-2</v>
      </c>
      <c r="I15" s="50">
        <f>0.473/16*G15</f>
        <v>0.56168750000000001</v>
      </c>
      <c r="J15" s="50">
        <f>1.585/16*G15</f>
        <v>1.8821874999999999</v>
      </c>
      <c r="K15" s="5">
        <v>1999</v>
      </c>
      <c r="L15" s="31">
        <f t="shared" si="1"/>
        <v>0.11073253180718573</v>
      </c>
      <c r="M15" s="31">
        <f t="shared" si="2"/>
        <v>1.1112455536200034</v>
      </c>
      <c r="N15" s="31">
        <f t="shared" si="3"/>
        <v>2.9813467445972499</v>
      </c>
      <c r="O15" s="48">
        <f t="shared" si="4"/>
        <v>2.9375E-3</v>
      </c>
      <c r="P15" s="34">
        <f t="shared" si="7"/>
        <v>2.9562500000000002E-2</v>
      </c>
      <c r="Q15" s="35">
        <f t="shared" si="8"/>
        <v>9.9062499999999998E-2</v>
      </c>
      <c r="R15" s="62"/>
      <c r="S15" s="13">
        <v>1999</v>
      </c>
      <c r="T15" s="10"/>
      <c r="U15" s="10">
        <v>3</v>
      </c>
      <c r="V15" s="10"/>
      <c r="W15" s="10"/>
      <c r="X15" s="10"/>
      <c r="Y15" s="10"/>
    </row>
    <row r="16" spans="1:25" ht="15" thickBot="1" x14ac:dyDescent="0.35">
      <c r="A16" s="5">
        <v>2000</v>
      </c>
      <c r="B16" s="6" t="s">
        <v>3</v>
      </c>
      <c r="C16" s="24">
        <v>5.4765196645620517E-2</v>
      </c>
      <c r="D16" s="25">
        <v>0.54800869344627934</v>
      </c>
      <c r="E16" s="25">
        <v>1.0960604026333449</v>
      </c>
      <c r="F16" s="2">
        <v>2000</v>
      </c>
      <c r="G16" s="3">
        <v>18</v>
      </c>
      <c r="H16" s="25">
        <v>4.9000000000000002E-2</v>
      </c>
      <c r="I16" s="25">
        <v>0.48699999999999999</v>
      </c>
      <c r="J16" s="25">
        <v>1.631</v>
      </c>
      <c r="K16" s="5">
        <v>2000</v>
      </c>
      <c r="L16" s="31">
        <f t="shared" si="1"/>
        <v>0.10376519664562052</v>
      </c>
      <c r="M16" s="31">
        <f t="shared" si="2"/>
        <v>1.0350086934462794</v>
      </c>
      <c r="N16" s="31">
        <f t="shared" si="3"/>
        <v>2.7270604026333451</v>
      </c>
      <c r="O16" s="48">
        <f t="shared" si="4"/>
        <v>2.7222222222222222E-3</v>
      </c>
      <c r="P16" s="34">
        <f t="shared" si="7"/>
        <v>2.7055555555555555E-2</v>
      </c>
      <c r="Q16" s="35">
        <f t="shared" si="8"/>
        <v>9.0611111111111114E-2</v>
      </c>
      <c r="R16" s="62"/>
      <c r="S16" s="49" t="s">
        <v>22</v>
      </c>
    </row>
    <row r="17" spans="1:19" ht="15" thickBot="1" x14ac:dyDescent="0.35">
      <c r="A17" s="5">
        <v>2001</v>
      </c>
      <c r="B17" s="6" t="s">
        <v>3</v>
      </c>
      <c r="C17" s="24">
        <v>4.5738306726367826E-2</v>
      </c>
      <c r="D17" s="25">
        <v>0.45768099531815354</v>
      </c>
      <c r="E17" s="25">
        <v>0.9153979161376592</v>
      </c>
      <c r="F17" s="2">
        <v>2001</v>
      </c>
      <c r="G17" s="3">
        <v>1</v>
      </c>
      <c r="H17" s="25">
        <v>2E-3</v>
      </c>
      <c r="I17" s="25">
        <v>2.1999999999999999E-2</v>
      </c>
      <c r="J17" s="25">
        <v>7.4999999999999997E-2</v>
      </c>
      <c r="K17" s="5">
        <v>2001</v>
      </c>
      <c r="L17" s="31">
        <f t="shared" si="1"/>
        <v>4.7738306726367828E-2</v>
      </c>
      <c r="M17" s="31">
        <f t="shared" si="2"/>
        <v>0.47968099531815356</v>
      </c>
      <c r="N17" s="31">
        <f t="shared" si="3"/>
        <v>0.99039791613765915</v>
      </c>
      <c r="O17" s="48">
        <f t="shared" si="4"/>
        <v>2E-3</v>
      </c>
      <c r="P17" s="34">
        <f t="shared" si="7"/>
        <v>2.1999999999999999E-2</v>
      </c>
      <c r="Q17" s="35">
        <f t="shared" si="8"/>
        <v>7.4999999999999997E-2</v>
      </c>
      <c r="R17" s="62"/>
      <c r="S17" s="19"/>
    </row>
    <row r="18" spans="1:19" ht="15" thickBot="1" x14ac:dyDescent="0.35">
      <c r="A18" s="5">
        <v>2002</v>
      </c>
      <c r="B18" s="6" t="s">
        <v>3</v>
      </c>
      <c r="C18" s="24">
        <v>3.9467482682976167E-2</v>
      </c>
      <c r="D18" s="25">
        <v>0.39493190828232005</v>
      </c>
      <c r="E18" s="25">
        <v>0.78989481659949001</v>
      </c>
      <c r="F18" s="2">
        <v>2002</v>
      </c>
      <c r="G18" s="3">
        <v>0</v>
      </c>
      <c r="H18" s="25"/>
      <c r="I18" s="25"/>
      <c r="J18" s="25"/>
      <c r="K18" s="5">
        <v>2002</v>
      </c>
      <c r="L18" s="31">
        <f t="shared" si="1"/>
        <v>3.9467482682976167E-2</v>
      </c>
      <c r="M18" s="31">
        <f t="shared" si="2"/>
        <v>0.39493190828232005</v>
      </c>
      <c r="N18" s="31">
        <f t="shared" si="3"/>
        <v>0.78989481659949001</v>
      </c>
      <c r="O18" s="48"/>
      <c r="P18" s="34"/>
      <c r="Q18" s="35"/>
      <c r="R18" s="62"/>
      <c r="S18" s="19"/>
    </row>
    <row r="19" spans="1:19" ht="15" thickBot="1" x14ac:dyDescent="0.35">
      <c r="A19" s="5">
        <v>2003</v>
      </c>
      <c r="B19" s="6" t="s">
        <v>3</v>
      </c>
      <c r="C19" s="24">
        <v>4.2192581526524151E-2</v>
      </c>
      <c r="D19" s="25">
        <v>0.42220064733986745</v>
      </c>
      <c r="E19" s="25">
        <v>0.84443443516422534</v>
      </c>
      <c r="F19" s="2">
        <v>2003</v>
      </c>
      <c r="G19" s="3">
        <v>28</v>
      </c>
      <c r="H19" s="25">
        <v>0.1</v>
      </c>
      <c r="I19" s="25">
        <v>1.002</v>
      </c>
      <c r="J19" s="25">
        <v>3.3559999999999999</v>
      </c>
      <c r="K19" s="5">
        <v>2003</v>
      </c>
      <c r="L19" s="31">
        <f t="shared" si="1"/>
        <v>0.14219258152652414</v>
      </c>
      <c r="M19" s="31">
        <f t="shared" si="2"/>
        <v>1.4242006473398674</v>
      </c>
      <c r="N19" s="31">
        <f t="shared" si="3"/>
        <v>4.2004344351642251</v>
      </c>
      <c r="O19" s="48">
        <f t="shared" ref="O19:Q21" si="9">+H19/$G19</f>
        <v>3.5714285714285718E-3</v>
      </c>
      <c r="P19" s="34">
        <f t="shared" si="9"/>
        <v>3.5785714285714289E-2</v>
      </c>
      <c r="Q19" s="35">
        <f t="shared" si="9"/>
        <v>0.11985714285714286</v>
      </c>
      <c r="R19" s="62"/>
    </row>
    <row r="20" spans="1:19" ht="15" thickBot="1" x14ac:dyDescent="0.35">
      <c r="A20" s="5">
        <v>2004</v>
      </c>
      <c r="B20" s="6" t="s">
        <v>3</v>
      </c>
      <c r="C20" s="24">
        <v>4.6713768244228758E-2</v>
      </c>
      <c r="D20" s="25">
        <v>0.46744196441261654</v>
      </c>
      <c r="E20" s="25">
        <v>0.93492062051026348</v>
      </c>
      <c r="F20" s="2">
        <v>2004</v>
      </c>
      <c r="G20" s="3">
        <v>18</v>
      </c>
      <c r="H20" s="25">
        <v>4.5999999999999999E-2</v>
      </c>
      <c r="I20" s="25">
        <v>0.45700000000000002</v>
      </c>
      <c r="J20" s="25">
        <v>1.5309999999999999</v>
      </c>
      <c r="K20" s="5">
        <v>2004</v>
      </c>
      <c r="L20" s="31">
        <f t="shared" si="1"/>
        <v>9.271376824422875E-2</v>
      </c>
      <c r="M20" s="31">
        <f t="shared" si="2"/>
        <v>0.9244419644126165</v>
      </c>
      <c r="N20" s="31">
        <f t="shared" si="3"/>
        <v>2.4659206205102633</v>
      </c>
      <c r="O20" s="48">
        <f t="shared" si="9"/>
        <v>2.5555555555555557E-3</v>
      </c>
      <c r="P20" s="34">
        <f t="shared" si="9"/>
        <v>2.5388888888888891E-2</v>
      </c>
      <c r="Q20" s="35">
        <f t="shared" si="9"/>
        <v>8.5055555555555551E-2</v>
      </c>
      <c r="R20" s="62"/>
    </row>
    <row r="21" spans="1:19" ht="15" thickBot="1" x14ac:dyDescent="0.35">
      <c r="A21" s="5">
        <v>2005</v>
      </c>
      <c r="B21" s="6" t="s">
        <v>3</v>
      </c>
      <c r="C21" s="24">
        <v>4.7148158289999999E-2</v>
      </c>
      <c r="D21" s="25">
        <v>0.47178869437999998</v>
      </c>
      <c r="E21" s="25">
        <v>0.94361442164000009</v>
      </c>
      <c r="F21" s="2">
        <v>2005</v>
      </c>
      <c r="G21" s="3">
        <v>69</v>
      </c>
      <c r="H21" s="25">
        <v>0.16200000000000001</v>
      </c>
      <c r="I21" s="25">
        <v>1.619</v>
      </c>
      <c r="J21" s="25">
        <v>5.4210000000000003</v>
      </c>
      <c r="K21" s="5">
        <v>2005</v>
      </c>
      <c r="L21" s="31">
        <f t="shared" si="1"/>
        <v>0.20914815829</v>
      </c>
      <c r="M21" s="31">
        <f t="shared" si="2"/>
        <v>2.09078869438</v>
      </c>
      <c r="N21" s="31">
        <f t="shared" si="3"/>
        <v>6.3646144216400007</v>
      </c>
      <c r="O21" s="48">
        <f t="shared" si="9"/>
        <v>2.3478260869565218E-3</v>
      </c>
      <c r="P21" s="34">
        <f t="shared" si="9"/>
        <v>2.346376811594203E-2</v>
      </c>
      <c r="Q21" s="35">
        <f t="shared" si="9"/>
        <v>7.8565217391304357E-2</v>
      </c>
      <c r="R21" s="62"/>
    </row>
    <row r="22" spans="1:19" ht="15" thickBot="1" x14ac:dyDescent="0.35">
      <c r="A22" s="5">
        <v>2006</v>
      </c>
      <c r="B22" s="6" t="s">
        <v>3</v>
      </c>
      <c r="C22" s="24">
        <v>4.1337483829999994E-2</v>
      </c>
      <c r="D22" s="25">
        <v>0.41364408910000006</v>
      </c>
      <c r="E22" s="25">
        <v>0.82732142208000004</v>
      </c>
      <c r="F22" s="2">
        <v>2006</v>
      </c>
      <c r="G22" s="3">
        <v>23</v>
      </c>
      <c r="H22" s="25">
        <v>5.6000000000000001E-2</v>
      </c>
      <c r="I22" s="25">
        <v>0.56399999999999995</v>
      </c>
      <c r="J22" s="25">
        <v>1.887</v>
      </c>
      <c r="K22" s="5">
        <v>2006</v>
      </c>
      <c r="L22" s="31">
        <f t="shared" si="1"/>
        <v>9.7337483829999988E-2</v>
      </c>
      <c r="M22" s="31">
        <f t="shared" si="2"/>
        <v>0.9776440891</v>
      </c>
      <c r="N22" s="31">
        <f t="shared" si="3"/>
        <v>2.7143214220800003</v>
      </c>
      <c r="O22" s="48">
        <f t="shared" ref="O22:O28" si="10">+H22/$G22</f>
        <v>2.4347826086956524E-3</v>
      </c>
      <c r="P22" s="34">
        <f t="shared" ref="P22:Q28" si="11">+I22/$G22</f>
        <v>2.4521739130434782E-2</v>
      </c>
      <c r="Q22" s="35">
        <f t="shared" si="11"/>
        <v>8.2043478260869565E-2</v>
      </c>
      <c r="R22" s="62"/>
    </row>
    <row r="23" spans="1:19" ht="15" thickBot="1" x14ac:dyDescent="0.35">
      <c r="A23" s="5">
        <v>2007</v>
      </c>
      <c r="B23" s="6" t="s">
        <v>3</v>
      </c>
      <c r="C23" s="24">
        <v>6.1521533289999993E-2</v>
      </c>
      <c r="D23" s="25">
        <v>0.61561606963999993</v>
      </c>
      <c r="E23" s="25">
        <v>1.2312804183400001</v>
      </c>
      <c r="F23" s="2">
        <v>2007</v>
      </c>
      <c r="G23" s="3">
        <v>34</v>
      </c>
      <c r="H23" s="25">
        <v>0.09</v>
      </c>
      <c r="I23" s="25">
        <v>0.90400000000000003</v>
      </c>
      <c r="J23" s="25">
        <v>3.0249999999999999</v>
      </c>
      <c r="K23" s="5">
        <v>2007</v>
      </c>
      <c r="L23" s="31">
        <f t="shared" si="1"/>
        <v>0.15152153328999998</v>
      </c>
      <c r="M23" s="31">
        <f t="shared" si="2"/>
        <v>1.5196160696400001</v>
      </c>
      <c r="N23" s="31">
        <f t="shared" si="3"/>
        <v>4.2562804183400003</v>
      </c>
      <c r="O23" s="48">
        <f t="shared" si="10"/>
        <v>2.6470588235294116E-3</v>
      </c>
      <c r="P23" s="34">
        <f t="shared" si="11"/>
        <v>2.6588235294117649E-2</v>
      </c>
      <c r="Q23" s="35">
        <f t="shared" si="11"/>
        <v>8.8970588235294121E-2</v>
      </c>
      <c r="R23" s="62"/>
    </row>
    <row r="24" spans="1:19" ht="15" thickBot="1" x14ac:dyDescent="0.35">
      <c r="A24" s="5">
        <v>2008</v>
      </c>
      <c r="B24" s="6" t="s">
        <v>3</v>
      </c>
      <c r="C24" s="24">
        <v>5.8002992469999994E-2</v>
      </c>
      <c r="D24" s="25">
        <v>0.58040773735999995</v>
      </c>
      <c r="E24" s="25">
        <v>1.1608613424200001</v>
      </c>
      <c r="F24" s="2">
        <v>2008</v>
      </c>
      <c r="G24" s="3">
        <v>39</v>
      </c>
      <c r="H24" s="25">
        <v>0.13</v>
      </c>
      <c r="I24" s="25">
        <v>1.3049999999999999</v>
      </c>
      <c r="J24" s="25">
        <v>4.3680000000000003</v>
      </c>
      <c r="K24" s="5">
        <v>2008</v>
      </c>
      <c r="L24" s="31">
        <f t="shared" si="1"/>
        <v>0.18800299246999999</v>
      </c>
      <c r="M24" s="31">
        <f t="shared" si="2"/>
        <v>1.88540773736</v>
      </c>
      <c r="N24" s="31">
        <f t="shared" si="3"/>
        <v>5.5288613424200008</v>
      </c>
      <c r="O24" s="48">
        <f t="shared" si="10"/>
        <v>3.3333333333333335E-3</v>
      </c>
      <c r="P24" s="34">
        <f t="shared" si="11"/>
        <v>3.3461538461538459E-2</v>
      </c>
      <c r="Q24" s="35">
        <f t="shared" si="11"/>
        <v>0.112</v>
      </c>
      <c r="R24" s="62"/>
    </row>
    <row r="25" spans="1:19" ht="15" thickBot="1" x14ac:dyDescent="0.35">
      <c r="A25" s="5">
        <v>2009</v>
      </c>
      <c r="B25" s="6" t="s">
        <v>3</v>
      </c>
      <c r="C25" s="24">
        <v>5.8583307789999997E-2</v>
      </c>
      <c r="D25" s="25">
        <v>0.58621468568000001</v>
      </c>
      <c r="E25" s="25">
        <v>1.1724746671400001</v>
      </c>
      <c r="F25" s="2">
        <v>2009</v>
      </c>
      <c r="G25" s="3">
        <v>5</v>
      </c>
      <c r="H25" s="25">
        <v>1.2E-2</v>
      </c>
      <c r="I25" s="25">
        <v>0.123</v>
      </c>
      <c r="J25" s="25">
        <v>0.41099999999999998</v>
      </c>
      <c r="K25" s="5">
        <v>2009</v>
      </c>
      <c r="L25" s="31">
        <f t="shared" si="1"/>
        <v>7.0583307789999994E-2</v>
      </c>
      <c r="M25" s="31">
        <f t="shared" si="2"/>
        <v>0.70921468568000001</v>
      </c>
      <c r="N25" s="31">
        <f t="shared" si="3"/>
        <v>1.5834746671400002</v>
      </c>
      <c r="O25" s="48">
        <f t="shared" si="10"/>
        <v>2.4000000000000002E-3</v>
      </c>
      <c r="P25" s="34">
        <f t="shared" si="11"/>
        <v>2.46E-2</v>
      </c>
      <c r="Q25" s="35">
        <f t="shared" si="11"/>
        <v>8.2199999999999995E-2</v>
      </c>
      <c r="R25" s="62"/>
    </row>
    <row r="26" spans="1:19" ht="15" thickBot="1" x14ac:dyDescent="0.35">
      <c r="A26" s="5">
        <v>2010</v>
      </c>
      <c r="B26" s="6" t="s">
        <v>3</v>
      </c>
      <c r="C26" s="24">
        <v>5.4292391570000001E-2</v>
      </c>
      <c r="D26" s="25">
        <v>0.54327753613000007</v>
      </c>
      <c r="E26" s="25">
        <v>1.08659954367</v>
      </c>
      <c r="F26" s="2">
        <v>2010</v>
      </c>
      <c r="G26" s="3">
        <v>11</v>
      </c>
      <c r="H26" s="25">
        <v>2.1000000000000001E-2</v>
      </c>
      <c r="I26" s="25">
        <v>0.20899999999999999</v>
      </c>
      <c r="J26" s="25">
        <v>0.7</v>
      </c>
      <c r="K26" s="5">
        <v>2010</v>
      </c>
      <c r="L26" s="31">
        <f t="shared" si="1"/>
        <v>7.5292391570000006E-2</v>
      </c>
      <c r="M26" s="31">
        <f t="shared" si="2"/>
        <v>0.75227753613000004</v>
      </c>
      <c r="N26" s="31">
        <f t="shared" si="3"/>
        <v>1.78659954367</v>
      </c>
      <c r="O26" s="48">
        <f t="shared" si="10"/>
        <v>1.9090909090909091E-3</v>
      </c>
      <c r="P26" s="34">
        <f t="shared" si="11"/>
        <v>1.9E-2</v>
      </c>
      <c r="Q26" s="35">
        <f t="shared" si="11"/>
        <v>6.363636363636363E-2</v>
      </c>
      <c r="R26" s="62"/>
    </row>
    <row r="27" spans="1:19" ht="15" thickBot="1" x14ac:dyDescent="0.35">
      <c r="A27" s="5">
        <v>2011</v>
      </c>
      <c r="B27" s="6" t="s">
        <v>3</v>
      </c>
      <c r="C27" s="24">
        <v>4.3255661699999989E-2</v>
      </c>
      <c r="D27" s="25">
        <v>0.43283836383000002</v>
      </c>
      <c r="E27" s="25">
        <v>0.86571137655000008</v>
      </c>
      <c r="F27" s="2">
        <v>2011</v>
      </c>
      <c r="G27" s="3">
        <v>6</v>
      </c>
      <c r="H27" s="25">
        <v>2.1000000000000001E-2</v>
      </c>
      <c r="I27" s="25">
        <v>0.20599999999999999</v>
      </c>
      <c r="J27" s="25">
        <v>0.68899999999999995</v>
      </c>
      <c r="K27" s="5">
        <v>2011</v>
      </c>
      <c r="L27" s="31">
        <f t="shared" si="1"/>
        <v>6.4255661699999994E-2</v>
      </c>
      <c r="M27" s="31">
        <f t="shared" si="2"/>
        <v>0.63883836383000003</v>
      </c>
      <c r="N27" s="31">
        <f t="shared" si="3"/>
        <v>1.55471137655</v>
      </c>
      <c r="O27" s="48">
        <f t="shared" si="10"/>
        <v>3.5000000000000001E-3</v>
      </c>
      <c r="P27" s="34">
        <f t="shared" si="11"/>
        <v>3.4333333333333334E-2</v>
      </c>
      <c r="Q27" s="35">
        <f t="shared" si="11"/>
        <v>0.11483333333333333</v>
      </c>
      <c r="R27" s="62"/>
    </row>
    <row r="28" spans="1:19" ht="15" thickBot="1" x14ac:dyDescent="0.35">
      <c r="A28" s="5">
        <v>2012</v>
      </c>
      <c r="B28" s="6" t="s">
        <v>3</v>
      </c>
      <c r="C28" s="24">
        <v>4.4941898769999995E-2</v>
      </c>
      <c r="D28" s="25">
        <v>0.44971173179000001</v>
      </c>
      <c r="E28" s="25">
        <v>0.89945851557000012</v>
      </c>
      <c r="F28" s="2">
        <v>2012</v>
      </c>
      <c r="G28" s="3">
        <v>25</v>
      </c>
      <c r="H28" s="25">
        <v>6.5000000000000002E-2</v>
      </c>
      <c r="I28" s="25">
        <v>0.64500000000000002</v>
      </c>
      <c r="J28" s="25">
        <v>2.16</v>
      </c>
      <c r="K28" s="5">
        <v>2012</v>
      </c>
      <c r="L28" s="31">
        <f t="shared" si="1"/>
        <v>0.10994189876999999</v>
      </c>
      <c r="M28" s="31">
        <f t="shared" si="2"/>
        <v>1.0947117317899999</v>
      </c>
      <c r="N28" s="31">
        <f t="shared" si="3"/>
        <v>3.0594585155700003</v>
      </c>
      <c r="O28" s="48">
        <f t="shared" si="10"/>
        <v>2.5999999999999999E-3</v>
      </c>
      <c r="P28" s="34">
        <f t="shared" si="11"/>
        <v>2.58E-2</v>
      </c>
      <c r="Q28" s="35">
        <f t="shared" si="11"/>
        <v>8.6400000000000005E-2</v>
      </c>
      <c r="R28" s="62"/>
    </row>
    <row r="29" spans="1:19" ht="15" thickBot="1" x14ac:dyDescent="0.35">
      <c r="A29" s="5">
        <v>2013</v>
      </c>
      <c r="B29" s="6" t="s">
        <v>3</v>
      </c>
      <c r="C29" s="24">
        <v>3.9832568159999977E-2</v>
      </c>
      <c r="D29" s="25">
        <v>0.39858514706999998</v>
      </c>
      <c r="E29" s="25">
        <v>0.7972011763100002</v>
      </c>
      <c r="F29" s="2">
        <v>2013</v>
      </c>
      <c r="G29" s="3">
        <v>0</v>
      </c>
      <c r="H29" s="25"/>
      <c r="I29" s="25"/>
      <c r="J29" s="25"/>
      <c r="K29" s="5">
        <v>2013</v>
      </c>
      <c r="L29" s="31">
        <f t="shared" si="1"/>
        <v>3.9832568159999977E-2</v>
      </c>
      <c r="M29" s="31">
        <f t="shared" si="2"/>
        <v>0.39858514706999998</v>
      </c>
      <c r="N29" s="31">
        <f t="shared" si="3"/>
        <v>0.7972011763100002</v>
      </c>
      <c r="O29" s="48"/>
      <c r="P29" s="34"/>
      <c r="Q29" s="35"/>
      <c r="R29" s="62"/>
    </row>
    <row r="30" spans="1:19" ht="15" thickBot="1" x14ac:dyDescent="0.35">
      <c r="A30" s="5">
        <v>2014</v>
      </c>
      <c r="B30" s="6" t="s">
        <v>3</v>
      </c>
      <c r="C30" s="24">
        <v>3.8155380869999991E-2</v>
      </c>
      <c r="D30" s="25">
        <v>0.38180236595999995</v>
      </c>
      <c r="E30" s="25">
        <v>0.76363316782000012</v>
      </c>
      <c r="F30" s="2">
        <v>2014</v>
      </c>
      <c r="G30" s="3">
        <v>0</v>
      </c>
      <c r="H30" s="25"/>
      <c r="I30" s="25"/>
      <c r="J30" s="25"/>
      <c r="K30" s="5">
        <v>2014</v>
      </c>
      <c r="L30" s="31">
        <f t="shared" si="1"/>
        <v>3.8155380869999991E-2</v>
      </c>
      <c r="M30" s="31">
        <f t="shared" si="2"/>
        <v>0.38180236595999995</v>
      </c>
      <c r="N30" s="31">
        <f t="shared" si="3"/>
        <v>0.76363316782000012</v>
      </c>
      <c r="O30" s="48"/>
      <c r="P30" s="34"/>
      <c r="Q30" s="35"/>
      <c r="R30" s="62"/>
    </row>
    <row r="31" spans="1:19" ht="15" thickBot="1" x14ac:dyDescent="0.35">
      <c r="A31" s="5">
        <v>2015</v>
      </c>
      <c r="B31" s="6" t="s">
        <v>3</v>
      </c>
      <c r="C31" s="24">
        <v>3.6452012970000003E-2</v>
      </c>
      <c r="D31" s="25">
        <v>0.36475757960999999</v>
      </c>
      <c r="E31" s="25">
        <v>0.72954307666999996</v>
      </c>
      <c r="F31" s="2">
        <v>2015</v>
      </c>
      <c r="G31" s="3">
        <v>13</v>
      </c>
      <c r="H31" s="25">
        <v>5.0999999999999997E-2</v>
      </c>
      <c r="I31" s="25">
        <v>0.50700000000000001</v>
      </c>
      <c r="J31" s="25">
        <v>1.698</v>
      </c>
      <c r="K31" s="5">
        <v>2015</v>
      </c>
      <c r="L31" s="31">
        <f t="shared" si="1"/>
        <v>8.7452012969999993E-2</v>
      </c>
      <c r="M31" s="31">
        <f t="shared" si="2"/>
        <v>0.87175757961</v>
      </c>
      <c r="N31" s="31">
        <f t="shared" si="3"/>
        <v>2.4275430766700001</v>
      </c>
      <c r="O31" s="48">
        <f t="shared" ref="O31:Q37" si="12">+H31/$G31</f>
        <v>3.9230769230769232E-3</v>
      </c>
      <c r="P31" s="34">
        <f t="shared" si="12"/>
        <v>3.9E-2</v>
      </c>
      <c r="Q31" s="35">
        <f t="shared" si="12"/>
        <v>0.13061538461538461</v>
      </c>
      <c r="R31" s="62"/>
    </row>
    <row r="32" spans="1:19" ht="15" thickBot="1" x14ac:dyDescent="0.35">
      <c r="A32" s="5">
        <v>2016</v>
      </c>
      <c r="B32" s="6" t="s">
        <v>3</v>
      </c>
      <c r="C32" s="24">
        <v>3.9167810740000003E-2</v>
      </c>
      <c r="D32" s="25">
        <v>0.39193323358999999</v>
      </c>
      <c r="E32" s="25">
        <v>0.78389745478999995</v>
      </c>
      <c r="F32" s="2">
        <v>2016</v>
      </c>
      <c r="G32" s="3">
        <v>17</v>
      </c>
      <c r="H32" s="25">
        <v>5.3999999999999999E-2</v>
      </c>
      <c r="I32" s="25">
        <v>0.53700000000000003</v>
      </c>
      <c r="J32" s="25">
        <v>1.798</v>
      </c>
      <c r="K32" s="5">
        <v>2016</v>
      </c>
      <c r="L32" s="31">
        <f t="shared" si="1"/>
        <v>9.3167810739999996E-2</v>
      </c>
      <c r="M32" s="31">
        <f t="shared" si="2"/>
        <v>0.92893323359000002</v>
      </c>
      <c r="N32" s="31">
        <f t="shared" si="3"/>
        <v>2.58189745479</v>
      </c>
      <c r="O32" s="48">
        <f t="shared" si="12"/>
        <v>3.1764705882352941E-3</v>
      </c>
      <c r="P32" s="34">
        <f t="shared" si="12"/>
        <v>3.1588235294117646E-2</v>
      </c>
      <c r="Q32" s="35">
        <f t="shared" si="12"/>
        <v>0.10576470588235294</v>
      </c>
      <c r="R32" s="62"/>
    </row>
    <row r="33" spans="1:18" ht="15" thickBot="1" x14ac:dyDescent="0.35">
      <c r="A33" s="5">
        <v>2017</v>
      </c>
      <c r="B33" s="6" t="s">
        <v>3</v>
      </c>
      <c r="C33" s="24">
        <v>4.233215295E-2</v>
      </c>
      <c r="D33" s="25">
        <v>0.42359727230999999</v>
      </c>
      <c r="E33" s="25">
        <v>0.84722768564999995</v>
      </c>
      <c r="F33" s="2">
        <v>2017</v>
      </c>
      <c r="G33" s="3">
        <v>17</v>
      </c>
      <c r="H33" s="25">
        <v>4.8000000000000001E-2</v>
      </c>
      <c r="I33" s="25">
        <v>0.48199999999999998</v>
      </c>
      <c r="J33" s="25">
        <v>1.613</v>
      </c>
      <c r="K33" s="5">
        <v>2017</v>
      </c>
      <c r="L33" s="31">
        <f t="shared" si="1"/>
        <v>9.0332152949999994E-2</v>
      </c>
      <c r="M33" s="31">
        <f t="shared" si="2"/>
        <v>0.90559727230999998</v>
      </c>
      <c r="N33" s="31">
        <f t="shared" si="3"/>
        <v>2.4602276856500001</v>
      </c>
      <c r="O33" s="48">
        <f t="shared" si="12"/>
        <v>2.8235294117647061E-3</v>
      </c>
      <c r="P33" s="34">
        <f t="shared" si="12"/>
        <v>2.8352941176470588E-2</v>
      </c>
      <c r="Q33" s="35">
        <f t="shared" si="12"/>
        <v>9.4882352941176473E-2</v>
      </c>
      <c r="R33" s="62"/>
    </row>
    <row r="34" spans="1:18" ht="15" thickBot="1" x14ac:dyDescent="0.35">
      <c r="A34" s="5">
        <v>2018</v>
      </c>
      <c r="B34" s="6" t="s">
        <v>3</v>
      </c>
      <c r="C34" s="24">
        <v>5.1779879079999994E-2</v>
      </c>
      <c r="D34" s="25">
        <v>0.51813609901999991</v>
      </c>
      <c r="E34" s="25">
        <v>1.03631103998</v>
      </c>
      <c r="F34" s="2">
        <v>2018</v>
      </c>
      <c r="G34" s="3">
        <v>4</v>
      </c>
      <c r="H34" s="25">
        <v>1.4999999999999999E-2</v>
      </c>
      <c r="I34" s="25">
        <v>0.155</v>
      </c>
      <c r="J34" s="25">
        <v>0.51800000000000002</v>
      </c>
      <c r="K34" s="5">
        <v>2018</v>
      </c>
      <c r="L34" s="31">
        <f t="shared" si="1"/>
        <v>6.6779879079999993E-2</v>
      </c>
      <c r="M34" s="31">
        <f t="shared" si="2"/>
        <v>0.67313609901999993</v>
      </c>
      <c r="N34" s="31">
        <f t="shared" si="3"/>
        <v>1.55431103998</v>
      </c>
      <c r="O34" s="48">
        <f t="shared" si="12"/>
        <v>3.7499999999999999E-3</v>
      </c>
      <c r="P34" s="34">
        <f t="shared" si="12"/>
        <v>3.875E-2</v>
      </c>
      <c r="Q34" s="35">
        <f t="shared" si="12"/>
        <v>0.1295</v>
      </c>
      <c r="R34" s="62"/>
    </row>
    <row r="35" spans="1:18" ht="15" thickBot="1" x14ac:dyDescent="0.35">
      <c r="A35" s="5">
        <v>2019</v>
      </c>
      <c r="B35" s="6" t="s">
        <v>3</v>
      </c>
      <c r="C35" s="24">
        <v>5.1259561429999996E-2</v>
      </c>
      <c r="D35" s="25">
        <v>0.51292953546999998</v>
      </c>
      <c r="E35" s="25">
        <v>1.0258973563299998</v>
      </c>
      <c r="F35" s="2">
        <v>2019</v>
      </c>
      <c r="G35" s="3">
        <v>33</v>
      </c>
      <c r="H35" s="25">
        <v>0.10299999999999999</v>
      </c>
      <c r="I35" s="25">
        <v>1.0289999999999999</v>
      </c>
      <c r="J35" s="25">
        <v>3.4460000000000002</v>
      </c>
      <c r="K35" s="5">
        <v>2019</v>
      </c>
      <c r="L35" s="31">
        <f t="shared" si="1"/>
        <v>0.15425956143</v>
      </c>
      <c r="M35" s="31">
        <f t="shared" si="2"/>
        <v>1.54192953547</v>
      </c>
      <c r="N35" s="31">
        <f t="shared" si="3"/>
        <v>4.4718973563300004</v>
      </c>
      <c r="O35" s="48">
        <f t="shared" si="12"/>
        <v>3.121212121212121E-3</v>
      </c>
      <c r="P35" s="34">
        <f t="shared" si="12"/>
        <v>3.1181818181818179E-2</v>
      </c>
      <c r="Q35" s="35">
        <f t="shared" si="12"/>
        <v>0.10442424242424243</v>
      </c>
      <c r="R35" s="62"/>
    </row>
    <row r="36" spans="1:18" ht="15" thickBot="1" x14ac:dyDescent="0.35">
      <c r="A36" s="5">
        <v>2020</v>
      </c>
      <c r="B36" s="6" t="s">
        <v>3</v>
      </c>
      <c r="C36" s="24">
        <v>5.2686435649999995E-2</v>
      </c>
      <c r="D36" s="25">
        <v>0.52720757376999994</v>
      </c>
      <c r="E36" s="25">
        <v>1.0544544315500002</v>
      </c>
      <c r="F36" s="2">
        <v>2020</v>
      </c>
      <c r="G36" s="3">
        <v>21</v>
      </c>
      <c r="H36" s="25">
        <v>0.06</v>
      </c>
      <c r="I36" s="25">
        <v>0.6</v>
      </c>
      <c r="J36" s="25">
        <v>2.0099999999999998</v>
      </c>
      <c r="K36" s="5">
        <v>2020</v>
      </c>
      <c r="L36" s="31">
        <f t="shared" si="1"/>
        <v>0.11268643565</v>
      </c>
      <c r="M36" s="31">
        <f t="shared" si="2"/>
        <v>1.1272075737699998</v>
      </c>
      <c r="N36" s="31">
        <f t="shared" si="3"/>
        <v>3.0644544315499997</v>
      </c>
      <c r="O36" s="48">
        <f t="shared" si="12"/>
        <v>2.8571428571428571E-3</v>
      </c>
      <c r="P36" s="34">
        <f t="shared" si="12"/>
        <v>2.8571428571428571E-2</v>
      </c>
      <c r="Q36" s="35">
        <f t="shared" si="12"/>
        <v>9.571428571428571E-2</v>
      </c>
      <c r="R36" s="62"/>
    </row>
    <row r="37" spans="1:18" ht="15" thickBot="1" x14ac:dyDescent="0.35">
      <c r="A37" s="22">
        <v>2021</v>
      </c>
      <c r="B37" s="23" t="s">
        <v>3</v>
      </c>
      <c r="C37" s="24">
        <v>5.4108969412549987E-2</v>
      </c>
      <c r="D37" s="25">
        <v>0.54144217826178986</v>
      </c>
      <c r="E37" s="25">
        <v>1.0829247012018501</v>
      </c>
      <c r="F37" s="2">
        <v>2021</v>
      </c>
      <c r="G37" s="3">
        <v>46</v>
      </c>
      <c r="H37" s="25">
        <v>0.13100000000000001</v>
      </c>
      <c r="I37" s="25">
        <v>1.31</v>
      </c>
      <c r="J37" s="25">
        <v>4.3840000000000003</v>
      </c>
      <c r="K37" s="22">
        <v>2021</v>
      </c>
      <c r="L37" s="31">
        <f t="shared" si="1"/>
        <v>0.18510896941255001</v>
      </c>
      <c r="M37" s="31">
        <f t="shared" si="2"/>
        <v>1.8514421782617898</v>
      </c>
      <c r="N37" s="31">
        <f t="shared" si="3"/>
        <v>5.4669247012018509</v>
      </c>
      <c r="O37" s="48">
        <f t="shared" si="12"/>
        <v>2.8478260869565218E-3</v>
      </c>
      <c r="P37" s="34">
        <f t="shared" si="12"/>
        <v>2.847826086956522E-2</v>
      </c>
      <c r="Q37" s="35">
        <f t="shared" si="12"/>
        <v>9.530434782608696E-2</v>
      </c>
      <c r="R37" s="62"/>
    </row>
    <row r="38" spans="1:18" x14ac:dyDescent="0.3">
      <c r="A38" s="18" t="s">
        <v>12</v>
      </c>
      <c r="B38" s="8"/>
      <c r="C38" s="6"/>
      <c r="D38" s="6"/>
      <c r="E38" s="6"/>
      <c r="F38" s="6"/>
      <c r="G38" s="6"/>
      <c r="H38" s="6"/>
      <c r="I38" s="6"/>
      <c r="J38" s="6"/>
      <c r="K38" s="7"/>
      <c r="L38" s="6"/>
      <c r="M38" s="6"/>
      <c r="N38" s="6"/>
      <c r="O38" s="6"/>
      <c r="P38" s="6"/>
      <c r="Q38" s="6"/>
      <c r="R38" s="54" t="s">
        <v>56</v>
      </c>
    </row>
    <row r="39" spans="1:18" x14ac:dyDescent="0.3">
      <c r="A39" s="20">
        <v>45365</v>
      </c>
      <c r="B39" s="8"/>
      <c r="C39" s="6"/>
      <c r="D39" s="6"/>
      <c r="E39" s="6"/>
      <c r="F39" s="6"/>
      <c r="G39" s="6"/>
      <c r="H39" s="6"/>
      <c r="I39" s="6"/>
      <c r="J39" s="6"/>
      <c r="K39" s="7"/>
      <c r="L39" s="6"/>
      <c r="M39" s="6"/>
      <c r="N39" s="6"/>
      <c r="O39" s="6"/>
      <c r="P39" s="6"/>
      <c r="Q39" s="6"/>
      <c r="R39" s="54"/>
    </row>
    <row r="40" spans="1:18" x14ac:dyDescent="0.3">
      <c r="A40" s="18">
        <v>2022</v>
      </c>
      <c r="B40" s="8"/>
      <c r="C40" s="6"/>
      <c r="D40" s="6"/>
      <c r="E40" s="6"/>
      <c r="F40" s="6"/>
      <c r="G40" s="6"/>
      <c r="H40" s="6"/>
      <c r="I40" s="6"/>
      <c r="J40" s="6"/>
      <c r="K40" s="7"/>
      <c r="L40" s="6"/>
      <c r="M40" s="6"/>
      <c r="N40" s="6"/>
      <c r="O40" s="6"/>
      <c r="P40" s="6"/>
      <c r="Q40" s="6"/>
      <c r="R40" s="54"/>
    </row>
    <row r="41" spans="1:18" ht="15" thickBot="1" x14ac:dyDescent="0.35">
      <c r="A41" s="18" t="s">
        <v>15</v>
      </c>
      <c r="B41" s="8"/>
      <c r="C41" s="6"/>
      <c r="D41" s="6"/>
      <c r="E41" s="6"/>
      <c r="F41" s="6"/>
      <c r="G41" s="6"/>
      <c r="H41" s="6"/>
      <c r="I41" s="6"/>
      <c r="J41" s="6"/>
      <c r="K41" s="7"/>
      <c r="L41" s="6"/>
      <c r="M41" s="6"/>
      <c r="N41" s="6"/>
      <c r="O41" s="6"/>
      <c r="P41" s="6"/>
      <c r="Q41" s="6"/>
      <c r="R41" s="54"/>
    </row>
    <row r="42" spans="1:18" ht="15" thickBot="1" x14ac:dyDescent="0.35">
      <c r="A42" s="7">
        <v>2022</v>
      </c>
      <c r="B42" s="8" t="s">
        <v>3</v>
      </c>
      <c r="C42" s="24">
        <f>0.94*C37</f>
        <v>5.0862431247796984E-2</v>
      </c>
      <c r="D42" s="25">
        <f>0.94*D37</f>
        <v>0.50895564756608247</v>
      </c>
      <c r="E42" s="25">
        <f>0.94*E37</f>
        <v>1.017949219129739</v>
      </c>
      <c r="F42" s="2">
        <v>2022</v>
      </c>
      <c r="G42" s="3">
        <v>21</v>
      </c>
      <c r="H42" s="3">
        <v>7.0000000000000007E-2</v>
      </c>
      <c r="I42" s="3">
        <v>0.70499999999999996</v>
      </c>
      <c r="J42" s="3">
        <v>2.359</v>
      </c>
      <c r="K42" s="7">
        <v>2022</v>
      </c>
      <c r="L42" s="31">
        <f>+H42+C42</f>
        <v>0.120862431247797</v>
      </c>
      <c r="M42" s="31">
        <f>+I42+D42</f>
        <v>1.2139556475660824</v>
      </c>
      <c r="N42" s="31">
        <f>+J42+E42</f>
        <v>3.376949219129739</v>
      </c>
    </row>
    <row r="44" spans="1:18" x14ac:dyDescent="0.3">
      <c r="G44" s="16" t="s">
        <v>53</v>
      </c>
      <c r="H44" s="16">
        <v>2.0704845814977974E-3</v>
      </c>
      <c r="I44" s="32">
        <v>2.0837004405286342E-2</v>
      </c>
      <c r="J44" s="33">
        <v>6.9823788546255511E-2</v>
      </c>
      <c r="K44" s="65" t="s">
        <v>51</v>
      </c>
      <c r="L44" s="9"/>
    </row>
    <row r="45" spans="1:18" x14ac:dyDescent="0.3">
      <c r="I45" s="36"/>
      <c r="J45" s="36"/>
      <c r="K45" s="66"/>
      <c r="L45" s="9"/>
    </row>
    <row r="46" spans="1:18" x14ac:dyDescent="0.3">
      <c r="G46" s="47" t="s">
        <v>45</v>
      </c>
      <c r="H46">
        <v>1.8399999999999998E-3</v>
      </c>
      <c r="I46">
        <v>1.84E-2</v>
      </c>
      <c r="J46">
        <f>+I46/I47*J47</f>
        <v>6.1600000000000002E-2</v>
      </c>
      <c r="K46" s="66" t="s">
        <v>50</v>
      </c>
    </row>
    <row r="47" spans="1:18" x14ac:dyDescent="0.3">
      <c r="G47" t="s">
        <v>46</v>
      </c>
      <c r="H47">
        <v>0.23</v>
      </c>
      <c r="I47">
        <v>2.2999999999999998</v>
      </c>
      <c r="J47">
        <v>7.7</v>
      </c>
      <c r="K47" s="66" t="s">
        <v>49</v>
      </c>
    </row>
  </sheetData>
  <mergeCells count="8">
    <mergeCell ref="R14:R37"/>
    <mergeCell ref="T4:Y4"/>
    <mergeCell ref="G4:J4"/>
    <mergeCell ref="C4:E4"/>
    <mergeCell ref="L4:N4"/>
    <mergeCell ref="O4:Q4"/>
    <mergeCell ref="S1:Y1"/>
    <mergeCell ref="R6:R13"/>
  </mergeCells>
  <hyperlinks>
    <hyperlink ref="S4" r:id="rId1" location="#/stavby?filters[]=StavbyRealizace" display="https://rsd.cz/web/guest/mapa-staveb##/stavby?filters[]=StavbyRealizace"/>
    <hyperlink ref="S16" r:id="rId2"/>
  </hyperlinks>
  <pageMargins left="0.7" right="0.7" top="0.78740157499999996" bottom="0.78740157499999996" header="0.3" footer="0.3"/>
  <pageSetup paperSize="9"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3:T28"/>
  <sheetViews>
    <sheetView zoomScale="85" zoomScaleNormal="85" workbookViewId="0">
      <selection activeCell="A23" sqref="A23"/>
    </sheetView>
  </sheetViews>
  <sheetFormatPr defaultRowHeight="14.4" x14ac:dyDescent="0.3"/>
  <cols>
    <col min="1" max="1" width="23.21875" style="37" customWidth="1"/>
    <col min="2" max="2" width="12.109375" style="37" customWidth="1"/>
    <col min="3" max="16384" width="8.88671875" style="37"/>
  </cols>
  <sheetData>
    <row r="3" spans="1:20" x14ac:dyDescent="0.3">
      <c r="A3" s="37" t="s">
        <v>44</v>
      </c>
    </row>
    <row r="4" spans="1:20" x14ac:dyDescent="0.3">
      <c r="A4" s="37" t="s">
        <v>43</v>
      </c>
    </row>
    <row r="5" spans="1:20" x14ac:dyDescent="0.3">
      <c r="C5" s="37">
        <v>2021</v>
      </c>
      <c r="D5" s="37">
        <v>2020</v>
      </c>
      <c r="E5" s="37">
        <v>2019</v>
      </c>
      <c r="F5" s="37">
        <v>2018</v>
      </c>
      <c r="G5" s="37">
        <v>2017</v>
      </c>
      <c r="H5" s="37">
        <v>2016</v>
      </c>
      <c r="I5" s="37">
        <v>2015</v>
      </c>
      <c r="J5" s="37">
        <v>2014</v>
      </c>
      <c r="K5" s="37">
        <v>2013</v>
      </c>
      <c r="L5" s="37">
        <v>2012</v>
      </c>
      <c r="M5" s="37">
        <v>2011</v>
      </c>
      <c r="N5" s="37">
        <v>2010</v>
      </c>
      <c r="O5" s="37">
        <v>2009</v>
      </c>
      <c r="P5" s="37">
        <v>2008</v>
      </c>
      <c r="Q5" s="37">
        <v>2007</v>
      </c>
      <c r="R5" s="37">
        <v>2006</v>
      </c>
      <c r="S5" s="46">
        <v>2005</v>
      </c>
      <c r="T5" s="45">
        <v>2004</v>
      </c>
    </row>
    <row r="6" spans="1:20" x14ac:dyDescent="0.3">
      <c r="A6" s="46" t="s">
        <v>42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x14ac:dyDescent="0.3">
      <c r="A7" s="37" t="s">
        <v>41</v>
      </c>
      <c r="C7" s="44">
        <v>37.31</v>
      </c>
      <c r="D7" s="44">
        <v>5.33</v>
      </c>
      <c r="E7" s="37">
        <v>24.3</v>
      </c>
      <c r="S7" s="37">
        <v>10</v>
      </c>
    </row>
    <row r="8" spans="1:20" x14ac:dyDescent="0.3">
      <c r="A8" s="43" t="s">
        <v>40</v>
      </c>
    </row>
    <row r="10" spans="1:20" x14ac:dyDescent="0.3">
      <c r="A10" s="37" t="s">
        <v>39</v>
      </c>
    </row>
    <row r="11" spans="1:20" x14ac:dyDescent="0.3">
      <c r="A11" s="37" t="s">
        <v>11</v>
      </c>
      <c r="B11" s="37" t="s">
        <v>38</v>
      </c>
      <c r="C11" s="41">
        <v>2.2999999999999998</v>
      </c>
      <c r="D11" s="41">
        <v>2.2999999999999998</v>
      </c>
      <c r="E11" s="41">
        <v>2.2999999999999998</v>
      </c>
      <c r="S11" s="41">
        <v>2.2999999999999998</v>
      </c>
    </row>
    <row r="12" spans="1:20" x14ac:dyDescent="0.3">
      <c r="A12" s="37" t="s">
        <v>29</v>
      </c>
      <c r="B12" s="37" t="s">
        <v>38</v>
      </c>
      <c r="C12" s="41">
        <v>0.23</v>
      </c>
      <c r="D12" s="41">
        <v>0.23</v>
      </c>
      <c r="E12" s="41">
        <v>0.23</v>
      </c>
      <c r="S12" s="41">
        <v>0.23</v>
      </c>
    </row>
    <row r="13" spans="1:20" x14ac:dyDescent="0.3">
      <c r="C13" s="41"/>
      <c r="D13" s="41"/>
      <c r="E13" s="41"/>
      <c r="S13" s="41"/>
    </row>
    <row r="14" spans="1:20" x14ac:dyDescent="0.3">
      <c r="A14" s="37" t="s">
        <v>37</v>
      </c>
      <c r="C14" s="41"/>
      <c r="D14" s="41"/>
      <c r="E14" s="41"/>
      <c r="S14" s="41"/>
    </row>
    <row r="15" spans="1:20" x14ac:dyDescent="0.3">
      <c r="A15" s="37" t="s">
        <v>36</v>
      </c>
      <c r="C15" s="41">
        <v>1</v>
      </c>
      <c r="D15" s="41">
        <v>1</v>
      </c>
      <c r="E15" s="41">
        <v>1</v>
      </c>
      <c r="S15" s="41">
        <v>1</v>
      </c>
    </row>
    <row r="16" spans="1:20" x14ac:dyDescent="0.3">
      <c r="A16" s="37" t="s">
        <v>35</v>
      </c>
      <c r="C16" s="41">
        <v>0.5</v>
      </c>
      <c r="D16" s="41">
        <v>0.5</v>
      </c>
      <c r="E16" s="41">
        <v>0.5</v>
      </c>
      <c r="S16" s="41">
        <v>0.5</v>
      </c>
    </row>
    <row r="17" spans="1:19" x14ac:dyDescent="0.3">
      <c r="A17" s="37" t="s">
        <v>34</v>
      </c>
      <c r="C17" s="41">
        <v>120</v>
      </c>
      <c r="D17" s="41">
        <v>120</v>
      </c>
      <c r="E17" s="41">
        <v>120</v>
      </c>
      <c r="S17" s="41">
        <v>120</v>
      </c>
    </row>
    <row r="18" spans="1:19" x14ac:dyDescent="0.3">
      <c r="A18" s="37" t="s">
        <v>33</v>
      </c>
      <c r="C18" s="42">
        <v>0.2</v>
      </c>
      <c r="D18" s="42">
        <v>0.2</v>
      </c>
      <c r="E18" s="42">
        <v>0.2</v>
      </c>
      <c r="S18" s="42">
        <v>0.2</v>
      </c>
    </row>
    <row r="19" spans="1:19" x14ac:dyDescent="0.3">
      <c r="C19" s="41"/>
      <c r="D19" s="41"/>
      <c r="E19" s="41"/>
      <c r="S19" s="41"/>
    </row>
    <row r="20" spans="1:19" x14ac:dyDescent="0.3">
      <c r="A20" s="37" t="s">
        <v>32</v>
      </c>
      <c r="B20" s="37" t="s">
        <v>31</v>
      </c>
      <c r="C20" s="41">
        <v>36000</v>
      </c>
      <c r="D20" s="41">
        <v>36000</v>
      </c>
      <c r="E20" s="41">
        <v>36000</v>
      </c>
      <c r="S20" s="41">
        <v>36000</v>
      </c>
    </row>
    <row r="21" spans="1:19" x14ac:dyDescent="0.3">
      <c r="C21" s="41"/>
      <c r="D21" s="41"/>
      <c r="E21" s="41"/>
      <c r="S21" s="41"/>
    </row>
    <row r="22" spans="1:19" x14ac:dyDescent="0.3">
      <c r="C22" s="41"/>
      <c r="D22" s="41"/>
      <c r="E22" s="41"/>
      <c r="S22" s="41"/>
    </row>
    <row r="23" spans="1:19" s="38" customFormat="1" x14ac:dyDescent="0.3">
      <c r="A23" s="40" t="s">
        <v>30</v>
      </c>
      <c r="C23" s="38">
        <v>2021</v>
      </c>
      <c r="D23" s="38">
        <v>2020</v>
      </c>
      <c r="E23" s="38">
        <v>2019</v>
      </c>
      <c r="F23" s="38">
        <v>2018</v>
      </c>
      <c r="G23" s="38">
        <v>2017</v>
      </c>
      <c r="H23" s="38">
        <v>2016</v>
      </c>
      <c r="I23" s="38">
        <v>2015</v>
      </c>
      <c r="J23" s="38">
        <v>2014</v>
      </c>
      <c r="K23" s="38">
        <v>2013</v>
      </c>
      <c r="L23" s="38">
        <v>2012</v>
      </c>
      <c r="M23" s="38">
        <v>2011</v>
      </c>
      <c r="N23" s="38">
        <v>2010</v>
      </c>
      <c r="O23" s="38">
        <v>2009</v>
      </c>
      <c r="P23" s="38">
        <v>2008</v>
      </c>
      <c r="Q23" s="38">
        <v>2007</v>
      </c>
      <c r="R23" s="38">
        <v>2006</v>
      </c>
      <c r="S23" s="38">
        <v>2005</v>
      </c>
    </row>
    <row r="24" spans="1:19" s="38" customFormat="1" x14ac:dyDescent="0.3">
      <c r="A24" s="40" t="s">
        <v>11</v>
      </c>
      <c r="B24" s="40" t="s">
        <v>28</v>
      </c>
      <c r="C24" s="39">
        <f>C11*C20*C7*C15*(1-C16)*24/C17*(C18/9%)/1000000</f>
        <v>0.686504</v>
      </c>
      <c r="D24" s="39">
        <f>D11*D20*D7*D15*(1-D16)*24/D17*(D18/9%)/1000000</f>
        <v>9.807200000000002E-2</v>
      </c>
      <c r="E24" s="39">
        <f>E11*E20*E7*E15*(1-E16)*24/E17*(E18/9%)/1000000</f>
        <v>0.44712000000000002</v>
      </c>
      <c r="S24" s="39">
        <f>S11*S20*S7*S15*(1-S16)*24/S17*(S18/9%)/1000000</f>
        <v>0.184</v>
      </c>
    </row>
    <row r="25" spans="1:19" s="38" customFormat="1" x14ac:dyDescent="0.3">
      <c r="A25" s="40" t="s">
        <v>29</v>
      </c>
      <c r="B25" s="40" t="s">
        <v>28</v>
      </c>
      <c r="C25" s="39">
        <f>C24/10</f>
        <v>6.86504E-2</v>
      </c>
      <c r="D25" s="39">
        <f>D24/10</f>
        <v>9.807200000000002E-3</v>
      </c>
      <c r="E25" s="39">
        <f>E24/10</f>
        <v>4.4712000000000002E-2</v>
      </c>
      <c r="S25" s="39">
        <f>S24/10</f>
        <v>1.84E-2</v>
      </c>
    </row>
    <row r="27" spans="1:19" x14ac:dyDescent="0.3">
      <c r="A27" s="40" t="s">
        <v>11</v>
      </c>
      <c r="B27" s="64" t="s">
        <v>50</v>
      </c>
      <c r="C27" s="64">
        <f>+C24/C7</f>
        <v>1.84E-2</v>
      </c>
      <c r="D27" s="64">
        <f>+D24/D7</f>
        <v>1.8400000000000003E-2</v>
      </c>
      <c r="E27" s="64">
        <f>+E24/E7</f>
        <v>1.84E-2</v>
      </c>
      <c r="S27" s="37">
        <f>+S24/S7</f>
        <v>1.84E-2</v>
      </c>
    </row>
    <row r="28" spans="1:19" x14ac:dyDescent="0.3">
      <c r="A28" s="40" t="s">
        <v>29</v>
      </c>
      <c r="B28" s="64" t="s">
        <v>50</v>
      </c>
      <c r="C28" s="64">
        <f>+C25/C7</f>
        <v>1.8399999999999998E-3</v>
      </c>
      <c r="D28" s="64">
        <f>+D25/D7</f>
        <v>1.8400000000000003E-3</v>
      </c>
      <c r="E28" s="64">
        <f>+E25/E7</f>
        <v>1.8400000000000001E-3</v>
      </c>
      <c r="S28" s="37">
        <f>+S25/S7</f>
        <v>1.8400000000000001E-3</v>
      </c>
    </row>
  </sheetData>
  <hyperlinks>
    <hyperlink ref="S5" r:id="rId1" display="https://www.sydos.cz/cs/rocenka-2005/rocenka/htm_cz/cz05_321000.html"/>
    <hyperlink ref="A6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2A5b recalculation_2024</vt:lpstr>
      <vt:lpstr>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MACHÁLEK, Ing.</dc:creator>
  <cp:lastModifiedBy>PAVEL MACHÁLEK, Ing.</cp:lastModifiedBy>
  <dcterms:created xsi:type="dcterms:W3CDTF">2024-02-03T17:49:01Z</dcterms:created>
  <dcterms:modified xsi:type="dcterms:W3CDTF">2024-05-22T10:56:39Z</dcterms:modified>
</cp:coreProperties>
</file>